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marsele.moss\Documents\MARSELE\SR-GO\DIGITADORES - CACs\"/>
    </mc:Choice>
  </mc:AlternateContent>
  <xr:revisionPtr revIDLastSave="0" documentId="13_ncr:1_{1700E35F-96DC-4D19-89F5-670A7141D5F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Extrato Resumo Valor Estimado" sheetId="25" r:id="rId1"/>
    <sheet name="POSTO" sheetId="19" r:id="rId2"/>
  </sheets>
  <externalReferences>
    <externalReference r:id="rId3"/>
  </externalReferences>
  <definedNames>
    <definedName name="_xlnm.Print_Area" localSheetId="1">POSTO!$B$1:$E$159</definedName>
    <definedName name="epi">[1]Insumos!$I$109</definedName>
    <definedName name="equipamentos">[1]Insumos!$M$78</definedName>
    <definedName name="materiais">[1]Insumos!$H$34</definedName>
    <definedName name="serventes_insalubridade">[1]Postos_ATC!$Q$4</definedName>
    <definedName name="uniforme">[1]Insumos!$I$100</definedName>
    <definedName name="uniforme_encarregado">[1]Insumos!$G$125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25" l="1"/>
  <c r="J6" i="25"/>
  <c r="J5" i="25"/>
  <c r="K5" i="25"/>
  <c r="K7" i="25"/>
  <c r="K6" i="25"/>
  <c r="E164" i="19"/>
  <c r="J8" i="25" l="1"/>
  <c r="G71" i="19"/>
  <c r="G118" i="19"/>
  <c r="G123" i="19" s="1"/>
  <c r="E27" i="19"/>
  <c r="F27" i="19" s="1"/>
  <c r="G27" i="19" s="1"/>
  <c r="F68" i="19" l="1"/>
  <c r="G133" i="19"/>
  <c r="G156" i="19" s="1"/>
  <c r="G28" i="19"/>
  <c r="G36" i="19" s="1"/>
  <c r="G79" i="19"/>
  <c r="G87" i="19" s="1"/>
  <c r="G94" i="19" l="1"/>
  <c r="G96" i="19" s="1"/>
  <c r="G109" i="19"/>
  <c r="G152" i="19"/>
  <c r="E68" i="19"/>
  <c r="F71" i="19"/>
  <c r="E71" i="19"/>
  <c r="F28" i="19" l="1"/>
  <c r="F36" i="19" s="1"/>
  <c r="E28" i="19"/>
  <c r="F143" i="19"/>
  <c r="F79" i="19"/>
  <c r="F118" i="19"/>
  <c r="F123" i="19" s="1"/>
  <c r="D94" i="19"/>
  <c r="D43" i="19"/>
  <c r="G103" i="19" l="1"/>
  <c r="F56" i="19"/>
  <c r="G54" i="19"/>
  <c r="G59" i="19"/>
  <c r="G58" i="19"/>
  <c r="G55" i="19"/>
  <c r="G53" i="19"/>
  <c r="G57" i="19"/>
  <c r="G56" i="19"/>
  <c r="G60" i="19"/>
  <c r="G43" i="19"/>
  <c r="F43" i="19"/>
  <c r="F54" i="19"/>
  <c r="F94" i="19"/>
  <c r="F96" i="19" s="1"/>
  <c r="F103" i="19"/>
  <c r="F55" i="19"/>
  <c r="F109" i="19"/>
  <c r="F53" i="19"/>
  <c r="F60" i="19"/>
  <c r="F59" i="19"/>
  <c r="F58" i="19"/>
  <c r="F57" i="19"/>
  <c r="F87" i="19"/>
  <c r="F152" i="19"/>
  <c r="D105" i="19"/>
  <c r="D104" i="19"/>
  <c r="D92" i="19"/>
  <c r="F92" i="19" s="1"/>
  <c r="E79" i="19"/>
  <c r="G92" i="19" l="1"/>
  <c r="G61" i="19"/>
  <c r="G86" i="19" s="1"/>
  <c r="F61" i="19"/>
  <c r="F86" i="19" s="1"/>
  <c r="E118" i="19"/>
  <c r="E123" i="19" s="1"/>
  <c r="D109" i="19"/>
  <c r="D107" i="19"/>
  <c r="D106" i="19"/>
  <c r="D97" i="19"/>
  <c r="D96" i="19"/>
  <c r="D93" i="19"/>
  <c r="D61" i="19"/>
  <c r="D42" i="19"/>
  <c r="E36" i="19"/>
  <c r="F93" i="19" l="1"/>
  <c r="G93" i="19"/>
  <c r="G110" i="19"/>
  <c r="G111" i="19"/>
  <c r="G42" i="19"/>
  <c r="F42" i="19"/>
  <c r="E94" i="19"/>
  <c r="D108" i="19"/>
  <c r="F111" i="19"/>
  <c r="F110" i="19"/>
  <c r="E103" i="19"/>
  <c r="E57" i="19"/>
  <c r="D110" i="19"/>
  <c r="D45" i="19"/>
  <c r="E87" i="19"/>
  <c r="E56" i="19"/>
  <c r="E43" i="19"/>
  <c r="E109" i="19"/>
  <c r="E110" i="19" s="1"/>
  <c r="E59" i="19"/>
  <c r="E58" i="19"/>
  <c r="E42" i="19"/>
  <c r="E60" i="19"/>
  <c r="E152" i="19"/>
  <c r="E92" i="19"/>
  <c r="E111" i="19"/>
  <c r="E55" i="19"/>
  <c r="E54" i="19"/>
  <c r="E53" i="19"/>
  <c r="D111" i="19"/>
  <c r="D95" i="19"/>
  <c r="F95" i="19" l="1"/>
  <c r="G95" i="19"/>
  <c r="F44" i="19"/>
  <c r="F45" i="19"/>
  <c r="F97" i="19"/>
  <c r="F98" i="19" s="1"/>
  <c r="F154" i="19" s="1"/>
  <c r="G44" i="19"/>
  <c r="G45" i="19"/>
  <c r="G97" i="19"/>
  <c r="E97" i="19"/>
  <c r="E61" i="19"/>
  <c r="E95" i="19"/>
  <c r="E96" i="19"/>
  <c r="E44" i="19"/>
  <c r="E45" i="19"/>
  <c r="E93" i="19"/>
  <c r="G98" i="19" l="1"/>
  <c r="G104" i="19"/>
  <c r="F46" i="19"/>
  <c r="F85" i="19" s="1"/>
  <c r="F88" i="19" s="1"/>
  <c r="F153" i="19" s="1"/>
  <c r="G46" i="19"/>
  <c r="G85" i="19" s="1"/>
  <c r="G88" i="19" s="1"/>
  <c r="G153" i="19" s="1"/>
  <c r="F106" i="19"/>
  <c r="F104" i="19"/>
  <c r="F107" i="19"/>
  <c r="F105" i="19"/>
  <c r="E86" i="19"/>
  <c r="E98" i="19"/>
  <c r="E105" i="19" s="1"/>
  <c r="E46" i="19"/>
  <c r="E85" i="19" s="1"/>
  <c r="G154" i="19" l="1"/>
  <c r="G105" i="19"/>
  <c r="G106" i="19"/>
  <c r="G107" i="19"/>
  <c r="F133" i="19"/>
  <c r="F156" i="19" s="1"/>
  <c r="F108" i="19"/>
  <c r="F112" i="19" s="1"/>
  <c r="F122" i="19" s="1"/>
  <c r="F124" i="19" s="1"/>
  <c r="F155" i="19" s="1"/>
  <c r="E88" i="19"/>
  <c r="E153" i="19" s="1"/>
  <c r="E107" i="19"/>
  <c r="E106" i="19"/>
  <c r="E154" i="19"/>
  <c r="E104" i="19"/>
  <c r="G108" i="19" l="1"/>
  <c r="G112" i="19" s="1"/>
  <c r="G122" i="19" s="1"/>
  <c r="G124" i="19" s="1"/>
  <c r="G155" i="19" s="1"/>
  <c r="G157" i="19" s="1"/>
  <c r="G137" i="19" s="1"/>
  <c r="G138" i="19" s="1"/>
  <c r="F157" i="19"/>
  <c r="F137" i="19" s="1"/>
  <c r="E108" i="19"/>
  <c r="E112" i="19" s="1"/>
  <c r="E122" i="19" s="1"/>
  <c r="E124" i="19" s="1"/>
  <c r="E155" i="19" s="1"/>
  <c r="F138" i="19" l="1"/>
  <c r="F144" i="19" s="1"/>
  <c r="E133" i="19"/>
  <c r="E156" i="19" s="1"/>
  <c r="E157" i="19" s="1"/>
  <c r="G141" i="19" l="1"/>
  <c r="G142" i="19"/>
  <c r="G144" i="19"/>
  <c r="F141" i="19"/>
  <c r="F142" i="19"/>
  <c r="E137" i="19"/>
  <c r="E138" i="19" l="1"/>
  <c r="E144" i="19" s="1"/>
  <c r="E143" i="19" l="1"/>
  <c r="G143" i="19" s="1"/>
  <c r="E141" i="19"/>
  <c r="E142" i="19"/>
  <c r="G146" i="19" l="1"/>
  <c r="G158" i="19" s="1"/>
  <c r="G159" i="19" s="1"/>
  <c r="G161" i="19" s="1"/>
  <c r="F146" i="19"/>
  <c r="F158" i="19" s="1"/>
  <c r="F159" i="19" s="1"/>
  <c r="E146" i="19"/>
  <c r="E158" i="19" s="1"/>
  <c r="E159" i="19" s="1"/>
  <c r="H5" i="25" l="1"/>
  <c r="I5" i="25" s="1"/>
  <c r="E161" i="19"/>
  <c r="H6" i="25"/>
  <c r="I6" i="25" s="1"/>
  <c r="F161" i="19"/>
  <c r="G162" i="19"/>
  <c r="H7" i="25"/>
  <c r="I7" i="25" s="1"/>
  <c r="F162" i="19" l="1"/>
  <c r="E162" i="19"/>
  <c r="E163" i="19" l="1"/>
  <c r="I8" i="25"/>
  <c r="K8" i="2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SEGES</author>
  </authors>
  <commentList>
    <comment ref="C68" authorId="0" shapeId="0" xr:uid="{6802726D-033D-4DF8-9084-DF3BBF6181C7}">
      <text>
        <r>
          <rPr>
            <b/>
            <sz val="8"/>
            <color indexed="81"/>
            <rFont val="Segoe UI"/>
            <family val="2"/>
          </rPr>
          <t>Jornada 44h</t>
        </r>
        <r>
          <rPr>
            <sz val="8"/>
            <color indexed="81"/>
            <rFont val="Segoe UI"/>
            <family val="2"/>
          </rPr>
          <t xml:space="preserve">
365 dias : 7 dias = 52,14 semanas.
Segunda a sexta = 5 dias uteis por semana
52,14 semanas x 5 dias uteis por semana = 260,7 dias uteis por ano
260,7 dias uteis por ano – 9 feriados (aproximado) = 251,7 dias uteis “reais” ≈ 252
252 dias uteis / 12 meses = </t>
        </r>
        <r>
          <rPr>
            <u/>
            <sz val="8"/>
            <color indexed="81"/>
            <rFont val="Segoe UI"/>
            <family val="2"/>
          </rPr>
          <t>21 dias uteis por mês</t>
        </r>
        <r>
          <rPr>
            <sz val="8"/>
            <color indexed="81"/>
            <rFont val="Segoe UI"/>
            <family val="2"/>
          </rPr>
          <t xml:space="preserve">
</t>
        </r>
        <r>
          <rPr>
            <b/>
            <sz val="8"/>
            <color indexed="81"/>
            <rFont val="Segoe UI"/>
            <family val="2"/>
          </rPr>
          <t>Jornada 12x36h</t>
        </r>
        <r>
          <rPr>
            <sz val="8"/>
            <color indexed="81"/>
            <rFont val="Segoe UI"/>
            <family val="2"/>
          </rPr>
          <t xml:space="preserve">
365:12=30,4 dias 
Considerando que cada trabalhador labora em dias alternados:
30,4/2=</t>
        </r>
        <r>
          <rPr>
            <u/>
            <sz val="8"/>
            <color indexed="81"/>
            <rFont val="Segoe UI"/>
            <family val="2"/>
          </rPr>
          <t>15,2 dias trabalhados por mês</t>
        </r>
      </text>
    </comment>
    <comment ref="C71" authorId="0" shapeId="0" xr:uid="{F0ADBC7B-F3DF-4EC6-AA32-EA29BFAE3555}">
      <text>
        <r>
          <rPr>
            <b/>
            <sz val="8"/>
            <color indexed="81"/>
            <rFont val="Segoe UI"/>
            <family val="2"/>
          </rPr>
          <t>Jornada 44h</t>
        </r>
        <r>
          <rPr>
            <sz val="8"/>
            <color indexed="81"/>
            <rFont val="Segoe UI"/>
            <family val="2"/>
          </rPr>
          <t xml:space="preserve">
365 dias : 7 dias = 52,14 semanas.
Segunda a sexta = 5 dias uteis por semana
52,14 semanas x 5 dias uteis por semana = 260,7 dias uteis por ano
260,7 dias uteis por ano – 9 feriados (aproximado) = 251,7 dias uteis ≈ 252
252 dias uteis / 12 meses =</t>
        </r>
        <r>
          <rPr>
            <u/>
            <sz val="8"/>
            <color indexed="81"/>
            <rFont val="Segoe UI"/>
            <family val="2"/>
          </rPr>
          <t xml:space="preserve"> 21 dias uteis por mês</t>
        </r>
        <r>
          <rPr>
            <sz val="8"/>
            <color indexed="81"/>
            <rFont val="Segoe UI"/>
            <family val="2"/>
          </rPr>
          <t xml:space="preserve">
</t>
        </r>
        <r>
          <rPr>
            <b/>
            <sz val="8"/>
            <color indexed="81"/>
            <rFont val="Segoe UI"/>
            <family val="2"/>
          </rPr>
          <t>Jornada 12x36h</t>
        </r>
        <r>
          <rPr>
            <sz val="8"/>
            <color indexed="81"/>
            <rFont val="Segoe UI"/>
            <family val="2"/>
          </rPr>
          <t xml:space="preserve">
365:12=30,4 dias 
Considerando que cada trabalhador labora em dias alternados:
30,4/2=</t>
        </r>
        <r>
          <rPr>
            <u/>
            <sz val="8"/>
            <color indexed="81"/>
            <rFont val="Segoe UI"/>
            <family val="2"/>
          </rPr>
          <t>15,2 dias trabalhados por mê</t>
        </r>
        <r>
          <rPr>
            <sz val="8"/>
            <color indexed="81"/>
            <rFont val="Segoe UI"/>
            <family val="2"/>
          </rPr>
          <t xml:space="preserve">s
</t>
        </r>
      </text>
    </comment>
  </commentList>
</comments>
</file>

<file path=xl/sharedStrings.xml><?xml version="1.0" encoding="utf-8"?>
<sst xmlns="http://schemas.openxmlformats.org/spreadsheetml/2006/main" count="307" uniqueCount="186">
  <si>
    <t>B</t>
  </si>
  <si>
    <t>C</t>
  </si>
  <si>
    <t>D</t>
  </si>
  <si>
    <t>Nº de meses de execução contratual</t>
  </si>
  <si>
    <t>Unidade de Medida</t>
  </si>
  <si>
    <t>Classificação Brasileira de Ocupações (CBO)</t>
  </si>
  <si>
    <t>MÓDULO 1 :   COMPOSIÇÃO DA REMUNERAÇÃO</t>
  </si>
  <si>
    <t>Composição da Remuneração</t>
  </si>
  <si>
    <t>Valor (R$)</t>
  </si>
  <si>
    <t>A</t>
  </si>
  <si>
    <t>E</t>
  </si>
  <si>
    <t>F</t>
  </si>
  <si>
    <t>G</t>
  </si>
  <si>
    <t>H</t>
  </si>
  <si>
    <t>I</t>
  </si>
  <si>
    <t>TOTAL DA REMUNERAÇÃO (A+B+C+D+E+F+G+H+I+J+L)</t>
  </si>
  <si>
    <t>MÓDULO 2: ENCARGOS E BENEFÍCIOS ANUAIS, MENSAIS E DIÁRIOS</t>
  </si>
  <si>
    <t>SUBMÓDULO 2.1: 13º (décimo terceiro) Salário, Férias e Adicional de Férias</t>
  </si>
  <si>
    <t>2.1</t>
  </si>
  <si>
    <t>13º (décimo terceiro) Salário, Férias e Adicional de Férias</t>
  </si>
  <si>
    <t>SUBTOTAL (A+B)</t>
  </si>
  <si>
    <t>TOTAL DE 13º (DÉCIMO TERCEIRO) SALÁRIO, FÉRIAS E ADICIONAL DE FÉRIAS (A+B+C)</t>
  </si>
  <si>
    <t>SUBMÓDULO 2.2: Encargos Previdenciários (GPS), Fundo de Garantia por Tempo de Serviço (FGTS) e outras contribuições.</t>
  </si>
  <si>
    <t>2.2</t>
  </si>
  <si>
    <t>GPS, FGTS e outras contribuições</t>
  </si>
  <si>
    <t>Percentual (%)</t>
  </si>
  <si>
    <t>Salário Educação</t>
  </si>
  <si>
    <t>SESC ou SESI</t>
  </si>
  <si>
    <t>SEBRAE</t>
  </si>
  <si>
    <t>INCRA</t>
  </si>
  <si>
    <t>FGTS</t>
  </si>
  <si>
    <t>TOTAL GPS, FGTS E OUTRAS CONTRIBUIÇÕES (A+B+C+D+E+F+G+H)</t>
  </si>
  <si>
    <t>SUBMÓDULO 2.3: Benefícios Mensais e Diários</t>
  </si>
  <si>
    <t>Benefícios  Mensais e Diários</t>
  </si>
  <si>
    <t>TOTAL BENEFÍCIOS  MENSAIS E DIÁRIOS (A+B+C+D+E+F+G)</t>
  </si>
  <si>
    <t>Quadro-Resumo do Módulo 2 - Encargos e Benefícios anuais, mensais e diários</t>
  </si>
  <si>
    <t>Encargos e Benefícios Anuais, Mensais e Diários</t>
  </si>
  <si>
    <t>2.3</t>
  </si>
  <si>
    <t>TOTAL ENCARGOS BENEFÍCIOS ANUAIS, MENSAIS E DIÁRIOS</t>
  </si>
  <si>
    <t>MÓDULO 3: PROVISÃO PARA RESCISÃO</t>
  </si>
  <si>
    <t>Provisão para Rescisão</t>
  </si>
  <si>
    <t>TOTAL PROVISÃO PARA RESCISÃO</t>
  </si>
  <si>
    <t>MÓDULO 4: CUSTO DE REPOSIÇÃO DE PROFISSIONAL AUSENTE</t>
  </si>
  <si>
    <t>SUBMÓDULO 4.1: Ausências legais</t>
  </si>
  <si>
    <t>4.1</t>
  </si>
  <si>
    <t>Ausências Legais</t>
  </si>
  <si>
    <t>SUBMÓDULO 4.2: Intrajornada</t>
  </si>
  <si>
    <t>4.2</t>
  </si>
  <si>
    <t>Intrajornada</t>
  </si>
  <si>
    <t>TOTAL INTRAJORNADA (A)</t>
  </si>
  <si>
    <t>Quadro-Resumo do Módulo 4 - Custo de Reposição do Profissional Ausente</t>
  </si>
  <si>
    <t>Ausências legais</t>
  </si>
  <si>
    <t>MÓDULO 5: INSUMOS DIVERSOS</t>
  </si>
  <si>
    <t>Insumos Diversos</t>
  </si>
  <si>
    <t>TOTAL DE INSUMOS DIVERSOS</t>
  </si>
  <si>
    <t>MÓDULO 6: CUSTOS INDIRETOS, TRIBUTOS E LUCRO</t>
  </si>
  <si>
    <t>Custos Indiretos, Tributos e Lucro</t>
  </si>
  <si>
    <t>%</t>
  </si>
  <si>
    <t xml:space="preserve">Custos Indiretos        </t>
  </si>
  <si>
    <t>Lucro</t>
  </si>
  <si>
    <t>Tributos</t>
  </si>
  <si>
    <t>C.3   Tributos Municipais</t>
  </si>
  <si>
    <t xml:space="preserve">          C.3.1 - ISS          </t>
  </si>
  <si>
    <t>TOTAL</t>
  </si>
  <si>
    <t>2 - QUADRO RESUMO DO CUSTO POR EMPREGADO</t>
  </si>
  <si>
    <t>Mão-de-obra vinculada à execução contratual (valor por empregado)</t>
  </si>
  <si>
    <t>(R$)</t>
  </si>
  <si>
    <t>Módulo 1 – Composição da Remuneração</t>
  </si>
  <si>
    <t>Módulo 2 – Encargos e Benefícios Anuais, Mensais e Diários</t>
  </si>
  <si>
    <t>Módulo 3 – Provisão para rescisão</t>
  </si>
  <si>
    <t>Módulo 4 - Custo de Reposição do Profissional Ausente</t>
  </si>
  <si>
    <t>Módulo 5 – Insumos diversos</t>
  </si>
  <si>
    <t>Subtotal (A + B +C+ D+E)</t>
  </si>
  <si>
    <t>Módulo 6 – Custos indiretos, tributos e lucro</t>
  </si>
  <si>
    <t>Valor total por empregado</t>
  </si>
  <si>
    <t>TOTAL AUSÊNCIAS LEGAIS (A+B+C+D+E+F+G+H+I)</t>
  </si>
  <si>
    <t>SENAI ou SENAC</t>
  </si>
  <si>
    <t>Substituição no intervalo para repouso e alimentação (intrajornada)</t>
  </si>
  <si>
    <t>C.1 Tributos Federais</t>
  </si>
  <si>
    <t>INSS (no caso de optante pela desoneração, zerar esse item e incluir no Módulo 6)</t>
  </si>
  <si>
    <r>
      <t>Adicional  de periculosidade -</t>
    </r>
    <r>
      <rPr>
        <sz val="9"/>
        <color rgb="FF000000"/>
        <rFont val="Arial"/>
        <family val="2"/>
      </rPr>
      <t xml:space="preserve"> (30% do salário base)</t>
    </r>
  </si>
  <si>
    <r>
      <t xml:space="preserve">Adicional  de insalubridade - </t>
    </r>
    <r>
      <rPr>
        <sz val="9"/>
        <color rgb="FF000000"/>
        <rFont val="Arial"/>
        <family val="2"/>
      </rPr>
      <t>(10%, 20% ou 40% do salário mínimo)</t>
    </r>
  </si>
  <si>
    <r>
      <t xml:space="preserve">Reflexo no DSR - </t>
    </r>
    <r>
      <rPr>
        <sz val="9"/>
        <color rgb="FF000000"/>
        <rFont val="Arial"/>
        <family val="2"/>
      </rPr>
      <t>(((valor das horas extras) ÷ nº de dias úteis do mês) x nº RSR do mês)</t>
    </r>
  </si>
  <si>
    <r>
      <t xml:space="preserve">13º (décimo terceiro) Salário - </t>
    </r>
    <r>
      <rPr>
        <b/>
        <sz val="9"/>
        <color rgb="FF000000"/>
        <rFont val="Arial"/>
        <family val="2"/>
      </rPr>
      <t>(Rem x 8,33%)</t>
    </r>
  </si>
  <si>
    <r>
      <t xml:space="preserve">Incidência do submódulo 2.2 no 13º, férias e adicional de férias - </t>
    </r>
    <r>
      <rPr>
        <b/>
        <sz val="9"/>
        <color rgb="FF000000"/>
        <rFont val="Arial"/>
        <family val="2"/>
      </rPr>
      <t>(A+B)x%do submódulo 2.2</t>
    </r>
  </si>
  <si>
    <r>
      <rPr>
        <b/>
        <sz val="9"/>
        <color rgb="FF000000"/>
        <rFont val="Arial"/>
        <family val="2"/>
      </rPr>
      <t xml:space="preserve">Incidência do FGTS sobre o Aviso Prévio Indenizado - </t>
    </r>
    <r>
      <rPr>
        <sz val="9"/>
        <color rgb="FF000000"/>
        <rFont val="Arial"/>
        <family val="2"/>
      </rPr>
      <t>(Aviso Prévio Indenizado * 8% FGTS)</t>
    </r>
  </si>
  <si>
    <r>
      <t xml:space="preserve">Aviso Prévio Trabalhado - </t>
    </r>
    <r>
      <rPr>
        <sz val="9"/>
        <color rgb="FF000000"/>
        <rFont val="Arial"/>
        <family val="2"/>
      </rPr>
      <t>(REM/12)/30)x7)x100%</t>
    </r>
  </si>
  <si>
    <r>
      <t xml:space="preserve">Incidência dos encargos do submódulo 2.2 sobre o Aviso Prévio
Trabalhado - </t>
    </r>
    <r>
      <rPr>
        <sz val="9"/>
        <color rgb="FF000000"/>
        <rFont val="Arial"/>
        <family val="2"/>
      </rPr>
      <t>(Aviso Prévio Trabalhado) x % do Submódulo 2.2</t>
    </r>
  </si>
  <si>
    <r>
      <t xml:space="preserve">Incidência dos Encargos do Submódulo 2.2 sobre as ausências legais – </t>
    </r>
    <r>
      <rPr>
        <sz val="9"/>
        <color rgb="FF000000"/>
        <rFont val="Arial"/>
        <family val="2"/>
      </rPr>
      <t>(A+B+C+D+E) x % do submódulo 2.2</t>
    </r>
  </si>
  <si>
    <r>
      <t xml:space="preserve">Afastamento Maternidade (Férias pagas ao substituto pelos 120 dias de reposição) - </t>
    </r>
    <r>
      <rPr>
        <sz val="9"/>
        <color rgb="FF000000"/>
        <rFont val="Arial"/>
        <family val="2"/>
      </rPr>
      <t>(((Rem+(Rem ÷ 3)) x (4/12)) ÷ 12) x 1,416%</t>
    </r>
  </si>
  <si>
    <r>
      <t xml:space="preserve">Incidência dos encargos do submódulo 2.2 sobre as férias pagas ao substituto pelos 120 dias de reposição – </t>
    </r>
    <r>
      <rPr>
        <sz val="9"/>
        <color rgb="FF000000"/>
        <rFont val="Arial"/>
        <family val="2"/>
      </rPr>
      <t>(G x % do submódulo 2.2)</t>
    </r>
  </si>
  <si>
    <r>
      <t xml:space="preserve">Incidência do submódulo 2.2 sobre remuneração e 13º salário proporcionais aos 120 dias de reposição - </t>
    </r>
    <r>
      <rPr>
        <sz val="9"/>
        <color rgb="FF000000"/>
        <rFont val="Arial"/>
        <family val="2"/>
      </rPr>
      <t>(((Rem + (Rem ÷ 12)) x (4÷12)) x 1,416%) x % do submódulo 2.2</t>
    </r>
  </si>
  <si>
    <t>PLANILHA ANALÍTICA DE CUSTOS E FORMAÇÃO DE PREÇOS</t>
  </si>
  <si>
    <t xml:space="preserve">Quantidade da unidade de medida </t>
  </si>
  <si>
    <t>Quantidade de empregados por unidade de medida</t>
  </si>
  <si>
    <t>Piso da Categoria Profissional (Salário Normativo da Categoria)</t>
  </si>
  <si>
    <t>Acordo, Convenção ou Sentença Normativa em Dissídio Coletivo</t>
  </si>
  <si>
    <t>Número do registro do intrumento coletivo no sistema Mediador</t>
  </si>
  <si>
    <t xml:space="preserve">Data base da categoria </t>
  </si>
  <si>
    <t>Serviço</t>
  </si>
  <si>
    <t>Tipo de jornada</t>
  </si>
  <si>
    <t>Outros</t>
  </si>
  <si>
    <t>Depreciação de Ferramentas e  Equipamentos (pesquisa de mercado)</t>
  </si>
  <si>
    <t>Nota: Em caso de renovação, o Aviso Prévio Trabalhado torna-se custo não renovável, conforme Lei nº 12506/2011, devendo ser ajustado para o quantitativo de dias proporcional.</t>
  </si>
  <si>
    <r>
      <t xml:space="preserve">Multa do FGTS sobre o Aviso Prévio Trabalhado - </t>
    </r>
    <r>
      <rPr>
        <sz val="9"/>
        <color rgb="FF000000"/>
        <rFont val="Arial"/>
        <family val="2"/>
      </rPr>
      <t>(Aviso Prévio Trabalhado)x40%)x8%)</t>
    </r>
  </si>
  <si>
    <r>
      <t xml:space="preserve"> Os valores </t>
    </r>
    <r>
      <rPr>
        <b/>
        <u/>
        <sz val="8"/>
        <color indexed="8"/>
        <rFont val="Arial"/>
        <family val="2"/>
      </rPr>
      <t>finais</t>
    </r>
    <r>
      <rPr>
        <sz val="8"/>
        <color indexed="8"/>
        <rFont val="Arial"/>
        <family val="2"/>
      </rPr>
      <t xml:space="preserve"> foram arredondados em 2 casas decimais, segundo a Norma ABNT NBR 5891. </t>
    </r>
  </si>
  <si>
    <r>
      <t xml:space="preserve">Adicional noturno - </t>
    </r>
    <r>
      <rPr>
        <sz val="9"/>
        <color rgb="FF000000"/>
        <rFont val="Arial"/>
        <family val="2"/>
      </rPr>
      <t xml:space="preserve">(((((Sal. Base+Periculosidade ou insalubridade+gratificações/(180, 200 ou 220))*20%))*qtd horas noturnas)*qtd dias com adicional noturno) </t>
    </r>
  </si>
  <si>
    <r>
      <t xml:space="preserve">Adicional de hora noturna reduzida - </t>
    </r>
    <r>
      <rPr>
        <sz val="9"/>
        <color rgb="FF000000"/>
        <rFont val="Arial"/>
        <family val="2"/>
      </rPr>
      <t>((((salário base + periculosidade ou insalubridade + gratificações) ÷ (180, 200 ou 220) x quantidade de hora noturna adicional) x 120%)x quantidade de dias trabalhados)  - Cláusula 31ª CCT</t>
    </r>
  </si>
  <si>
    <r>
      <t xml:space="preserve">Outros - </t>
    </r>
    <r>
      <rPr>
        <sz val="9"/>
        <color rgb="FF000000"/>
        <rFont val="Arial"/>
        <family val="2"/>
      </rPr>
      <t>Gratificação POR POSTO (Cláusula XXª CCT)</t>
    </r>
  </si>
  <si>
    <r>
      <t>Adicional Horas extras -</t>
    </r>
    <r>
      <rPr>
        <sz val="9"/>
        <color rgb="FF000000"/>
        <rFont val="Arial"/>
        <family val="2"/>
      </rPr>
      <t xml:space="preserve"> [(verbas de natureza salarial/(180, 200 ou 220)+((verbas de natureza salarial/189,200 ou 180hs)*50% ou 100%)] * quantidade de horas extras</t>
    </r>
  </si>
  <si>
    <r>
      <t xml:space="preserve">Aviso Prévio Indenizado - </t>
    </r>
    <r>
      <rPr>
        <sz val="9"/>
        <color rgb="FF000000"/>
        <rFont val="Arial"/>
        <family val="2"/>
      </rPr>
      <t>((rem/12)*5,55%)</t>
    </r>
  </si>
  <si>
    <r>
      <t xml:space="preserve">Multa do FGTS - </t>
    </r>
    <r>
      <rPr>
        <sz val="9"/>
        <color rgb="FF000000"/>
        <rFont val="Arial"/>
        <family val="2"/>
      </rPr>
      <t>(Rem+Férias+13º+Adicional de Férias)x8%)x40%)*90%</t>
    </r>
  </si>
  <si>
    <t>Município/UF</t>
  </si>
  <si>
    <r>
      <rPr>
        <b/>
        <sz val="9"/>
        <rFont val="Arial"/>
        <family val="2"/>
      </rPr>
      <t>CONTA VINCULADA</t>
    </r>
    <r>
      <rPr>
        <sz val="9"/>
        <rFont val="Arial"/>
        <family val="2"/>
      </rPr>
      <t xml:space="preserve"> - alinea "b" do Inciso V do Art. 8º - Decreto Nº 9.507, de 21 de Setembro de 2018</t>
    </r>
  </si>
  <si>
    <r>
      <rPr>
        <b/>
        <sz val="9"/>
        <color rgb="FF000000"/>
        <rFont val="Arial"/>
        <family val="2"/>
      </rPr>
      <t>Nota 1</t>
    </r>
    <r>
      <rPr>
        <sz val="9"/>
        <color rgb="FF000000"/>
        <rFont val="Arial"/>
        <family val="2"/>
      </rPr>
      <t>: O Módulo 1 refere-se ao valor mensal devido ao empregado pela prestação do serviço no período de 12 meses.</t>
    </r>
  </si>
  <si>
    <r>
      <rPr>
        <b/>
        <sz val="9"/>
        <rFont val="Arial"/>
        <family val="2"/>
      </rPr>
      <t>Nota 2: </t>
    </r>
    <r>
      <rPr>
        <sz val="9"/>
        <rFont val="Arial"/>
        <family val="2"/>
      </rPr>
      <t>O adicional de férias contido no Submódulo 2.1 corresponde a 1/3 (um terço) da remuneração que por sua vez é divido por 12 (doze) conforme Nota 1 acima.</t>
    </r>
  </si>
  <si>
    <r>
      <rPr>
        <b/>
        <sz val="9"/>
        <color rgb="FF000000"/>
        <rFont val="Arial"/>
        <family val="2"/>
      </rPr>
      <t xml:space="preserve">Nota 1: </t>
    </r>
    <r>
      <rPr>
        <sz val="9"/>
        <color rgb="FF000000"/>
        <rFont val="Arial"/>
        <family val="2"/>
      </rPr>
      <t>Os percentuais dos encargos previdenciários, do FGTS e demais contribuições são aqueles estabelecidos pela legislação vigente.</t>
    </r>
  </si>
  <si>
    <r>
      <rPr>
        <b/>
        <sz val="9"/>
        <color rgb="FF000000"/>
        <rFont val="Arial"/>
        <family val="2"/>
      </rPr>
      <t xml:space="preserve">Nota 2: </t>
    </r>
    <r>
      <rPr>
        <sz val="9"/>
        <color rgb="FF000000"/>
        <rFont val="Arial"/>
        <family val="2"/>
      </rPr>
      <t>O SAT a depender do grau de risco do serviço irá variar entre 1%, para risco leve, de 2%, para risco médio, e de 3% de risco grave.</t>
    </r>
  </si>
  <si>
    <r>
      <rPr>
        <b/>
        <sz val="9"/>
        <color rgb="FF000000"/>
        <rFont val="Arial"/>
        <family val="2"/>
      </rPr>
      <t xml:space="preserve">Nota 3: </t>
    </r>
    <r>
      <rPr>
        <sz val="9"/>
        <color rgb="FF000000"/>
        <rFont val="Arial"/>
        <family val="2"/>
      </rPr>
      <t>Esses percentuais incidem sobre o Módulo 1, o Submódulo 2.1. (Redação dada pela Instrução Normativa nº 7, de 2018)</t>
    </r>
  </si>
  <si>
    <r>
      <rPr>
        <b/>
        <sz val="9"/>
        <color rgb="FF000000"/>
        <rFont val="Arial"/>
        <family val="2"/>
      </rPr>
      <t xml:space="preserve">Nota 1: </t>
    </r>
    <r>
      <rPr>
        <sz val="9"/>
        <color rgb="FF000000"/>
        <rFont val="Arial"/>
        <family val="2"/>
      </rPr>
      <t>O valor informado deverá ser o custo real do benefício (descontado o valor eventualmente pago pelo empregado).</t>
    </r>
  </si>
  <si>
    <r>
      <rPr>
        <b/>
        <sz val="9"/>
        <color rgb="FF000000"/>
        <rFont val="Arial"/>
        <family val="2"/>
      </rPr>
      <t>Nota 2:</t>
    </r>
    <r>
      <rPr>
        <sz val="9"/>
        <color rgb="FF000000"/>
        <rFont val="Arial"/>
        <family val="2"/>
      </rPr>
      <t xml:space="preserve"> Observar a previsão dos benefícios contidos em Acordos, Convenções e Dissídios Coletivos de Trabalho e atentar-se ao disposto no art. 6º desta Instrução Normativa.</t>
    </r>
  </si>
  <si>
    <t>Nota: As férias, adicional de férias e 13º do susbtituto tornam-se custo não renováveis no último ano de vigência do contrato.</t>
  </si>
  <si>
    <r>
      <rPr>
        <b/>
        <sz val="9"/>
        <color rgb="FF000000"/>
        <rFont val="Arial"/>
        <family val="2"/>
      </rPr>
      <t xml:space="preserve">Nota 1: </t>
    </r>
    <r>
      <rPr>
        <sz val="9"/>
        <color rgb="FF000000"/>
        <rFont val="Arial"/>
        <family val="2"/>
      </rPr>
      <t>Os itens que contemplam o módulo 4 se referem ao custo dos dias trabalhados pelo repositor/substituto, quando o empregado alocado na prestação de serviço estiver ausente, conforme as previsões estabelecidas na legislação. (Redação dada pela Instrução Normativa nº 7, de 2018)</t>
    </r>
  </si>
  <si>
    <r>
      <rPr>
        <b/>
        <sz val="9"/>
        <color rgb="FF000000"/>
        <rFont val="Arial"/>
        <family val="2"/>
      </rPr>
      <t>Nota 1:</t>
    </r>
    <r>
      <rPr>
        <sz val="9"/>
        <color rgb="FF000000"/>
        <rFont val="Arial"/>
        <family val="2"/>
      </rPr>
      <t> Custos Indiretos, Tributos e Lucro por empregado.</t>
    </r>
  </si>
  <si>
    <r>
      <rPr>
        <b/>
        <sz val="9"/>
        <color rgb="FF000000"/>
        <rFont val="Arial"/>
        <family val="2"/>
      </rPr>
      <t>Nota 2: </t>
    </r>
    <r>
      <rPr>
        <sz val="9"/>
        <color rgb="FF000000"/>
        <rFont val="Arial"/>
        <family val="2"/>
      </rPr>
      <t>O valor referente a tributos é obtido aplicando-se o percentual sobre o valor do faturamento.</t>
    </r>
  </si>
  <si>
    <r>
      <t xml:space="preserve">Substituto na cobertura de férias - </t>
    </r>
    <r>
      <rPr>
        <sz val="9"/>
        <color rgb="FF000000"/>
        <rFont val="Arial"/>
        <family val="2"/>
      </rPr>
      <t>(Rem x 8,33%)</t>
    </r>
    <r>
      <rPr>
        <b/>
        <sz val="9"/>
        <color rgb="FF000000"/>
        <rFont val="Arial"/>
        <family val="2"/>
      </rPr>
      <t xml:space="preserve"> </t>
    </r>
  </si>
  <si>
    <r>
      <t xml:space="preserve">Substituto nas Ausências legais - </t>
    </r>
    <r>
      <rPr>
        <sz val="9"/>
        <color rgb="FF000000"/>
        <rFont val="Arial"/>
        <family val="2"/>
      </rPr>
      <t>(((Módulo 1+Submóduo 2.1 e 2.3 e módulo 3)/30/12)x3 dia</t>
    </r>
  </si>
  <si>
    <r>
      <t xml:space="preserve">Substituto nas Licença paternidade - </t>
    </r>
    <r>
      <rPr>
        <sz val="9"/>
        <color rgb="FF000000"/>
        <rFont val="Arial"/>
        <family val="2"/>
      </rPr>
      <t>(((Módulo 1+Submóduo 2.1 e 2.3 e módulo 3)/30/12)x20 dias)x2%</t>
    </r>
  </si>
  <si>
    <r>
      <t xml:space="preserve">Substituto nas Ausências por acidente de trabalho - </t>
    </r>
    <r>
      <rPr>
        <sz val="9"/>
        <color rgb="FF000000"/>
        <rFont val="Arial"/>
        <family val="2"/>
      </rPr>
      <t>(((Módulo 1+Submóduo 2.1 e 2.3 e módulo 3)/30/12)x30 dias)x8%</t>
    </r>
  </si>
  <si>
    <r>
      <t xml:space="preserve">Substituto em outros afastamentos – Ex. Ausência por doença - </t>
    </r>
    <r>
      <rPr>
        <sz val="9"/>
        <color rgb="FF000000"/>
        <rFont val="Arial"/>
        <family val="2"/>
      </rPr>
      <t>((Módulo 1+Submóduo 2.1 e 2.3 e módulo 3)/30/12)x5 diasx40%</t>
    </r>
  </si>
  <si>
    <t>Data de apresentação da proposta - sessão pública de abertura do Pregão Eletrônico. (dia/mês/ano)</t>
  </si>
  <si>
    <r>
      <t>Adicional de Férias -</t>
    </r>
    <r>
      <rPr>
        <b/>
        <sz val="9"/>
        <color rgb="FF000000"/>
        <rFont val="Arial"/>
        <family val="2"/>
      </rPr>
      <t xml:space="preserve"> (Rem x 2,78%)</t>
    </r>
  </si>
  <si>
    <t>Nota 3: As férias estão orçadas no submódulo 4.1.</t>
  </si>
  <si>
    <t>RAT Ajustado (RAT x FAP)</t>
  </si>
  <si>
    <r>
      <t xml:space="preserve">Transporte - </t>
    </r>
    <r>
      <rPr>
        <sz val="9"/>
        <color rgb="FF000000"/>
        <rFont val="Arial"/>
        <family val="2"/>
      </rPr>
      <t>(valor do VT*2*numero de dias trabalhados)-(salário base*6%)</t>
    </r>
    <r>
      <rPr>
        <b/>
        <sz val="9"/>
        <color rgb="FF000000"/>
        <rFont val="Arial"/>
        <family val="2"/>
      </rPr>
      <t xml:space="preserve"> </t>
    </r>
    <r>
      <rPr>
        <sz val="9"/>
        <color rgb="FF000000"/>
        <rFont val="Arial"/>
        <family val="2"/>
      </rPr>
      <t>-  CCT</t>
    </r>
  </si>
  <si>
    <r>
      <t xml:space="preserve">Vale-alimentação - </t>
    </r>
    <r>
      <rPr>
        <sz val="9"/>
        <color rgb="FF000000"/>
        <rFont val="Arial"/>
        <family val="2"/>
      </rPr>
      <t>CCT</t>
    </r>
  </si>
  <si>
    <r>
      <t xml:space="preserve">(-) Desconto do vale-alimentação  - </t>
    </r>
    <r>
      <rPr>
        <sz val="9"/>
        <color rgb="FFFF0000"/>
        <rFont val="Arial"/>
        <family val="2"/>
      </rPr>
      <t>CCT</t>
    </r>
  </si>
  <si>
    <r>
      <t xml:space="preserve">Intervalo Intrajornada - </t>
    </r>
    <r>
      <rPr>
        <sz val="9"/>
        <color rgb="FF000000"/>
        <rFont val="Arial"/>
        <family val="2"/>
      </rPr>
      <t>((((salário base + periculosidade ou insalubridade + gratificações) ÷ (180, 200 ou 220) x 150%) x quantidade de horas suprimidas)x quantidade de dias)</t>
    </r>
    <r>
      <rPr>
        <b/>
        <sz val="9"/>
        <color rgb="FF000000"/>
        <rFont val="Arial"/>
        <family val="2"/>
      </rPr>
      <t xml:space="preserve"> - </t>
    </r>
    <r>
      <rPr>
        <sz val="9"/>
        <color rgb="FF000000"/>
        <rFont val="Arial"/>
        <family val="2"/>
      </rPr>
      <t>CCT</t>
    </r>
  </si>
  <si>
    <t>Outros Benefícios</t>
  </si>
  <si>
    <t xml:space="preserve">        C.1.1  PIS </t>
  </si>
  <si>
    <t xml:space="preserve">        C.1.2 COFINS </t>
  </si>
  <si>
    <t>C.2  Contribuição Previdenciária sobre a Receita Bruta (CPRB), caso benificiada pela desoneração</t>
  </si>
  <si>
    <r>
      <t xml:space="preserve">Salário Base </t>
    </r>
    <r>
      <rPr>
        <sz val="9"/>
        <color rgb="FF000000"/>
        <rFont val="Arial"/>
        <family val="2"/>
      </rPr>
      <t>(Cláusula xº CCT)</t>
    </r>
  </si>
  <si>
    <r>
      <rPr>
        <b/>
        <sz val="9"/>
        <rFont val="Arial"/>
        <family val="2"/>
      </rPr>
      <t>Nota 1:</t>
    </r>
    <r>
      <rPr>
        <sz val="9"/>
        <rFont val="Arial"/>
        <family val="2"/>
      </rPr>
      <t> Como a planilha de custos e formação de preços é calculada </t>
    </r>
    <r>
      <rPr>
        <u/>
        <sz val="9"/>
        <rFont val="Arial"/>
        <family val="2"/>
      </rPr>
      <t>mensalmente</t>
    </r>
    <r>
      <rPr>
        <sz val="9"/>
        <rFont val="Arial"/>
        <family val="2"/>
      </rPr>
      <t>, provisiona-se proporcionalmente 1/12 (um doze avos) dos valores referentes a gratificação natalina, férias e adicional de férias. (Redação dada pela Instrução Normativa nº 7, de 2018)</t>
    </r>
  </si>
  <si>
    <t>Item</t>
  </si>
  <si>
    <t>Posto</t>
  </si>
  <si>
    <t>12 meses</t>
  </si>
  <si>
    <t>1º / Jan</t>
  </si>
  <si>
    <t>Grupo</t>
  </si>
  <si>
    <t xml:space="preserve">Espeficicação </t>
  </si>
  <si>
    <t>CATSER</t>
  </si>
  <si>
    <t xml:space="preserve">Unidade de Medida </t>
  </si>
  <si>
    <t>Quantidade</t>
  </si>
  <si>
    <t>Valor Unitário</t>
  </si>
  <si>
    <t>Valor Mensal</t>
  </si>
  <si>
    <t xml:space="preserve">Valor Anual </t>
  </si>
  <si>
    <t>Extrato do Valor Estimado da Contratação</t>
  </si>
  <si>
    <t>Valor total Mensal</t>
  </si>
  <si>
    <t>Valor total Anual</t>
  </si>
  <si>
    <t>TOTAL(S)</t>
  </si>
  <si>
    <t xml:space="preserve">Uniformes Copeira e Carregadores </t>
  </si>
  <si>
    <t>Diversos</t>
  </si>
  <si>
    <t>TOTAL DA CONTRATAÇÃO 12 MESES</t>
  </si>
  <si>
    <t>Valor (R$) Benefício</t>
  </si>
  <si>
    <t>Processo 08295.009521/2025-32</t>
  </si>
  <si>
    <t>Digitador</t>
  </si>
  <si>
    <t>30h/semanais</t>
  </si>
  <si>
    <t>4121-10</t>
  </si>
  <si>
    <t>Goiânia</t>
  </si>
  <si>
    <t>SEAC-GO</t>
  </si>
  <si>
    <t>Anápolis</t>
  </si>
  <si>
    <t>MR075149/2024</t>
  </si>
  <si>
    <t>CCT - GO000026/2025
2025/2026</t>
  </si>
  <si>
    <t>DIGITADOR
GOIÂNIA</t>
  </si>
  <si>
    <t>DIGITADOR
ANÁPOLIS</t>
  </si>
  <si>
    <t xml:space="preserve"> - Salário base proporcional (30 horas)conforme Cláusula 25ª da CCT GO000026/2025 SEAC/SEACONS.</t>
  </si>
  <si>
    <t xml:space="preserve"> - Salário Base * 30% (conforme Art. 193, § 1º, da CLT).</t>
  </si>
  <si>
    <t>DIGITADOR
JATAÍ</t>
  </si>
  <si>
    <t>Jataí</t>
  </si>
  <si>
    <t xml:space="preserve"> - * Cláusula 18ª da CCT -2025-2026  SEAC-GO - Registro MTE GO000026/2025</t>
  </si>
  <si>
    <t>Equipamentos , Materiais e Utensílios</t>
  </si>
  <si>
    <t>Digitador - Goiânia</t>
  </si>
  <si>
    <t>Digitador - Anápolis</t>
  </si>
  <si>
    <t>Digitador - Jataí</t>
  </si>
  <si>
    <t>TOTAL DA CONTRATAÇÃO 24 MESES</t>
  </si>
  <si>
    <t>Valor Total (24 meses)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</si>
</sst>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#,##0.00&quot; &quot;;#,##0.00&quot; &quot;;&quot;-&quot;#&quot; &quot;;&quot; &quot;@&quot; &quot;"/>
    <numFmt numFmtId="166" formatCode="&quot;R$ &quot;#,##0.00"/>
    <numFmt numFmtId="167" formatCode="&quot;R$ &quot;#,##0.00;[Red]&quot;-R$ &quot;#,##0.00"/>
    <numFmt numFmtId="168" formatCode="#,##0.00&quot; &quot;;&quot;(&quot;#,##0.00&quot;)&quot;;&quot;-&quot;#&quot; &quot;;&quot; &quot;@&quot; &quot;"/>
    <numFmt numFmtId="169" formatCode="0.000%"/>
    <numFmt numFmtId="170" formatCode="_(&quot;R$ &quot;* #,##0.00_);_(&quot;R$ &quot;* \(#,##0.00\);_(&quot;R$ &quot;* &quot;-&quot;??_);_(@_)"/>
    <numFmt numFmtId="171" formatCode="&quot;R$&quot;\ #,##0.00"/>
    <numFmt numFmtId="172" formatCode="&quot;R$&quot;\ #,##0.00;[Red]&quot;R$&quot;\ #,##0.00"/>
  </numFmts>
  <fonts count="49">
    <font>
      <sz val="11"/>
      <color theme="1"/>
      <name val="Arial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1"/>
    </font>
    <font>
      <b/>
      <sz val="10"/>
      <color rgb="FF000000"/>
      <name val="Arial1"/>
    </font>
    <font>
      <sz val="10"/>
      <color rgb="FFFFFFFF"/>
      <name val="Arial1"/>
    </font>
    <font>
      <sz val="10"/>
      <color rgb="FFCC0000"/>
      <name val="Arial1"/>
    </font>
    <font>
      <b/>
      <sz val="10"/>
      <color rgb="FFFFFFFF"/>
      <name val="Arial1"/>
    </font>
    <font>
      <i/>
      <sz val="10"/>
      <color rgb="FF808080"/>
      <name val="Arial1"/>
    </font>
    <font>
      <sz val="10"/>
      <color rgb="FF006600"/>
      <name val="Arial1"/>
    </font>
    <font>
      <b/>
      <sz val="24"/>
      <color rgb="FF000000"/>
      <name val="Arial1"/>
    </font>
    <font>
      <sz val="18"/>
      <color rgb="FF000000"/>
      <name val="Arial1"/>
    </font>
    <font>
      <sz val="12"/>
      <color rgb="FF000000"/>
      <name val="Arial1"/>
    </font>
    <font>
      <sz val="10"/>
      <color theme="1"/>
      <name val="Arial"/>
      <family val="2"/>
    </font>
    <font>
      <sz val="10"/>
      <color rgb="FF996600"/>
      <name val="Arial1"/>
    </font>
    <font>
      <sz val="11"/>
      <color rgb="FF000000"/>
      <name val="Calibri"/>
      <family val="2"/>
    </font>
    <font>
      <sz val="10"/>
      <color rgb="FF333333"/>
      <name val="Arial1"/>
    </font>
    <font>
      <sz val="9"/>
      <color rgb="FF000000"/>
      <name val="Arial"/>
      <family val="2"/>
    </font>
    <font>
      <sz val="9"/>
      <color theme="1"/>
      <name val="Arial"/>
      <family val="2"/>
    </font>
    <font>
      <b/>
      <sz val="9"/>
      <color rgb="FF000000"/>
      <name val="Arial"/>
      <family val="2"/>
    </font>
    <font>
      <b/>
      <sz val="9"/>
      <name val="Arial"/>
      <family val="2"/>
    </font>
    <font>
      <sz val="9"/>
      <color theme="1"/>
      <name val="Arial1"/>
    </font>
    <font>
      <b/>
      <sz val="11"/>
      <color indexed="8"/>
      <name val="Arial"/>
      <family val="2"/>
    </font>
    <font>
      <sz val="9"/>
      <name val="Arial"/>
      <family val="2"/>
    </font>
    <font>
      <b/>
      <sz val="9"/>
      <color theme="0"/>
      <name val="Arial"/>
      <family val="2"/>
    </font>
    <font>
      <sz val="8"/>
      <color indexed="8"/>
      <name val="Arial"/>
      <family val="2"/>
    </font>
    <font>
      <b/>
      <u/>
      <sz val="8"/>
      <color indexed="8"/>
      <name val="Arial"/>
      <family val="2"/>
    </font>
    <font>
      <sz val="11"/>
      <color rgb="FF000000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8"/>
      <color indexed="81"/>
      <name val="Segoe UI"/>
      <family val="2"/>
    </font>
    <font>
      <b/>
      <sz val="8"/>
      <color indexed="81"/>
      <name val="Segoe UI"/>
      <family val="2"/>
    </font>
    <font>
      <u/>
      <sz val="8"/>
      <color indexed="81"/>
      <name val="Segoe UI"/>
      <family val="2"/>
    </font>
    <font>
      <u/>
      <sz val="9"/>
      <name val="Arial"/>
      <family val="2"/>
    </font>
    <font>
      <i/>
      <sz val="9"/>
      <color theme="8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theme="1"/>
      <name val="Arial1"/>
    </font>
    <font>
      <sz val="12"/>
      <color theme="1"/>
      <name val="Arial"/>
      <family val="2"/>
    </font>
    <font>
      <b/>
      <sz val="10"/>
      <color rgb="FF000000"/>
      <name val="Arial"/>
      <family val="2"/>
    </font>
    <font>
      <sz val="9"/>
      <color rgb="FF0000FF"/>
      <name val="Arial"/>
      <family val="2"/>
    </font>
    <font>
      <sz val="11"/>
      <color theme="1"/>
      <name val="Arial Nova"/>
      <family val="2"/>
    </font>
    <font>
      <b/>
      <sz val="11"/>
      <color theme="1"/>
      <name val="Arial Nova"/>
      <family val="2"/>
    </font>
    <font>
      <b/>
      <sz val="18"/>
      <color theme="1"/>
      <name val="Arial Nova"/>
      <family val="2"/>
    </font>
    <font>
      <sz val="11"/>
      <color theme="1"/>
      <name val="Arial"/>
      <family val="2"/>
    </font>
    <font>
      <b/>
      <sz val="11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CCCCCC"/>
        <bgColor rgb="FFCCCCCC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rgb="FFCCCC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</fills>
  <borders count="2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4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0" fontId="5" fillId="2" borderId="0"/>
    <xf numFmtId="0" fontId="5" fillId="3" borderId="0"/>
    <xf numFmtId="0" fontId="4" fillId="4" borderId="0"/>
    <xf numFmtId="0" fontId="6" fillId="5" borderId="0"/>
    <xf numFmtId="0" fontId="7" fillId="6" borderId="0"/>
    <xf numFmtId="165" fontId="3" fillId="0" borderId="0"/>
    <xf numFmtId="9" fontId="3" fillId="0" borderId="0"/>
    <xf numFmtId="0" fontId="8" fillId="0" borderId="0"/>
    <xf numFmtId="0" fontId="9" fillId="7" borderId="0"/>
    <xf numFmtId="0" fontId="10" fillId="0" borderId="0"/>
    <xf numFmtId="0" fontId="11" fillId="0" borderId="0"/>
    <xf numFmtId="0" fontId="12" fillId="0" borderId="0"/>
    <xf numFmtId="165" fontId="3" fillId="0" borderId="0"/>
    <xf numFmtId="168" fontId="13" fillId="0" borderId="0"/>
    <xf numFmtId="168" fontId="3" fillId="0" borderId="0"/>
    <xf numFmtId="0" fontId="14" fillId="8" borderId="0"/>
    <xf numFmtId="0" fontId="15" fillId="0" borderId="0"/>
    <xf numFmtId="0" fontId="13" fillId="0" borderId="0"/>
    <xf numFmtId="0" fontId="15" fillId="0" borderId="0"/>
    <xf numFmtId="0" fontId="15" fillId="0" borderId="0"/>
    <xf numFmtId="0" fontId="15" fillId="0" borderId="0"/>
    <xf numFmtId="0" fontId="16" fillId="8" borderId="1"/>
    <xf numFmtId="9" fontId="3" fillId="0" borderId="0"/>
    <xf numFmtId="9" fontId="3" fillId="0" borderId="0"/>
    <xf numFmtId="0" fontId="3" fillId="0" borderId="0"/>
    <xf numFmtId="0" fontId="3" fillId="0" borderId="0"/>
    <xf numFmtId="0" fontId="6" fillId="0" borderId="0"/>
    <xf numFmtId="0" fontId="27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6" fillId="0" borderId="0"/>
    <xf numFmtId="43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38" fillId="0" borderId="0"/>
    <xf numFmtId="0" fontId="15" fillId="0" borderId="0"/>
    <xf numFmtId="44" fontId="15" fillId="0" borderId="0" applyFont="0" applyFill="0" applyBorder="0" applyAlignment="0" applyProtection="0"/>
    <xf numFmtId="0" fontId="1" fillId="0" borderId="0"/>
    <xf numFmtId="170" fontId="38" fillId="0" borderId="0" applyFont="0" applyFill="0" applyBorder="0" applyAlignment="0" applyProtection="0"/>
    <xf numFmtId="44" fontId="39" fillId="0" borderId="0" applyFont="0" applyFill="0" applyBorder="0" applyAlignment="0" applyProtection="0"/>
    <xf numFmtId="0" fontId="15" fillId="0" borderId="0"/>
    <xf numFmtId="44" fontId="37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41" fillId="0" borderId="0"/>
    <xf numFmtId="9" fontId="41" fillId="0" borderId="0" applyFont="0" applyFill="0" applyBorder="0" applyAlignment="0" applyProtection="0"/>
    <xf numFmtId="164" fontId="41" fillId="0" borderId="0" applyFont="0" applyFill="0" applyBorder="0" applyAlignment="0" applyProtection="0"/>
    <xf numFmtId="168" fontId="35" fillId="0" borderId="0" applyBorder="0" applyProtection="0"/>
  </cellStyleXfs>
  <cellXfs count="131">
    <xf numFmtId="0" fontId="0" fillId="0" borderId="0" xfId="0"/>
    <xf numFmtId="0" fontId="21" fillId="0" borderId="0" xfId="0" applyFont="1"/>
    <xf numFmtId="0" fontId="17" fillId="0" borderId="0" xfId="20" applyFont="1"/>
    <xf numFmtId="0" fontId="17" fillId="0" borderId="0" xfId="20" applyFont="1" applyAlignment="1">
      <alignment vertical="center"/>
    </xf>
    <xf numFmtId="0" fontId="17" fillId="0" borderId="0" xfId="20" applyFont="1" applyAlignment="1">
      <alignment horizontal="center"/>
    </xf>
    <xf numFmtId="0" fontId="17" fillId="0" borderId="2" xfId="20" applyFont="1" applyBorder="1" applyAlignment="1">
      <alignment horizontal="center" vertical="center" wrapText="1"/>
    </xf>
    <xf numFmtId="0" fontId="17" fillId="0" borderId="6" xfId="20" applyFont="1" applyBorder="1" applyAlignment="1">
      <alignment horizontal="center" vertical="center" wrapText="1"/>
    </xf>
    <xf numFmtId="166" fontId="17" fillId="0" borderId="2" xfId="20" applyNumberFormat="1" applyFont="1" applyBorder="1" applyAlignment="1">
      <alignment horizontal="center" vertical="center" wrapText="1"/>
    </xf>
    <xf numFmtId="0" fontId="17" fillId="9" borderId="2" xfId="20" applyFont="1" applyFill="1" applyBorder="1" applyAlignment="1">
      <alignment horizontal="center" vertical="center" wrapText="1"/>
    </xf>
    <xf numFmtId="166" fontId="19" fillId="9" borderId="2" xfId="20" applyNumberFormat="1" applyFont="1" applyFill="1" applyBorder="1" applyAlignment="1">
      <alignment horizontal="center" vertical="center" wrapText="1"/>
    </xf>
    <xf numFmtId="9" fontId="17" fillId="0" borderId="0" xfId="2" applyFont="1"/>
    <xf numFmtId="0" fontId="17" fillId="0" borderId="2" xfId="20" applyFont="1" applyBorder="1" applyAlignment="1">
      <alignment vertical="center" wrapText="1"/>
    </xf>
    <xf numFmtId="10" fontId="17" fillId="0" borderId="2" xfId="10" applyNumberFormat="1" applyFont="1" applyBorder="1" applyAlignment="1">
      <alignment horizontal="center" vertical="center" wrapText="1"/>
    </xf>
    <xf numFmtId="166" fontId="19" fillId="0" borderId="2" xfId="20" applyNumberFormat="1" applyFont="1" applyBorder="1" applyAlignment="1">
      <alignment horizontal="center" vertical="center" wrapText="1"/>
    </xf>
    <xf numFmtId="0" fontId="19" fillId="9" borderId="2" xfId="20" applyFont="1" applyFill="1" applyBorder="1" applyAlignment="1">
      <alignment vertical="center" wrapText="1"/>
    </xf>
    <xf numFmtId="10" fontId="19" fillId="9" borderId="2" xfId="10" applyNumberFormat="1" applyFont="1" applyFill="1" applyBorder="1" applyAlignment="1">
      <alignment horizontal="center" vertical="center" wrapText="1"/>
    </xf>
    <xf numFmtId="0" fontId="19" fillId="0" borderId="2" xfId="20" applyFont="1" applyBorder="1" applyAlignment="1">
      <alignment vertical="center" wrapText="1"/>
    </xf>
    <xf numFmtId="0" fontId="19" fillId="0" borderId="4" xfId="20" applyFont="1" applyBorder="1" applyAlignment="1">
      <alignment horizontal="left" vertical="center" wrapText="1"/>
    </xf>
    <xf numFmtId="10" fontId="17" fillId="0" borderId="2" xfId="2" applyNumberFormat="1" applyFont="1" applyFill="1" applyBorder="1" applyAlignment="1">
      <alignment horizontal="center" vertical="center" wrapText="1"/>
    </xf>
    <xf numFmtId="0" fontId="19" fillId="10" borderId="5" xfId="20" applyFont="1" applyFill="1" applyBorder="1" applyAlignment="1">
      <alignment horizontal="center" vertical="center" wrapText="1"/>
    </xf>
    <xf numFmtId="0" fontId="17" fillId="0" borderId="7" xfId="20" applyFont="1" applyBorder="1" applyAlignment="1">
      <alignment vertical="center" wrapText="1"/>
    </xf>
    <xf numFmtId="10" fontId="17" fillId="0" borderId="6" xfId="20" applyNumberFormat="1" applyFont="1" applyBorder="1" applyAlignment="1">
      <alignment horizontal="center" vertical="center" wrapText="1"/>
    </xf>
    <xf numFmtId="10" fontId="17" fillId="0" borderId="2" xfId="20" applyNumberFormat="1" applyFont="1" applyBorder="1" applyAlignment="1">
      <alignment horizontal="center" vertical="center" wrapText="1"/>
    </xf>
    <xf numFmtId="0" fontId="17" fillId="0" borderId="9" xfId="20" applyFont="1" applyBorder="1" applyAlignment="1">
      <alignment vertical="center" wrapText="1"/>
    </xf>
    <xf numFmtId="10" fontId="17" fillId="0" borderId="9" xfId="20" applyNumberFormat="1" applyFont="1" applyBorder="1" applyAlignment="1">
      <alignment horizontal="center" vertical="center" wrapText="1"/>
    </xf>
    <xf numFmtId="44" fontId="17" fillId="0" borderId="10" xfId="1" applyFont="1" applyFill="1" applyBorder="1" applyAlignment="1">
      <alignment horizontal="center" vertical="center" wrapText="1"/>
    </xf>
    <xf numFmtId="0" fontId="17" fillId="0" borderId="11" xfId="20" applyFont="1" applyBorder="1" applyAlignment="1">
      <alignment vertical="center" wrapText="1"/>
    </xf>
    <xf numFmtId="10" fontId="17" fillId="0" borderId="12" xfId="20" applyNumberFormat="1" applyFont="1" applyBorder="1" applyAlignment="1">
      <alignment horizontal="center" vertical="center" wrapText="1"/>
    </xf>
    <xf numFmtId="44" fontId="17" fillId="0" borderId="9" xfId="1" applyFont="1" applyFill="1" applyBorder="1" applyAlignment="1">
      <alignment horizontal="center" vertical="center" wrapText="1"/>
    </xf>
    <xf numFmtId="0" fontId="17" fillId="0" borderId="8" xfId="20" applyFont="1" applyBorder="1" applyAlignment="1">
      <alignment vertical="center" wrapText="1"/>
    </xf>
    <xf numFmtId="166" fontId="19" fillId="10" borderId="5" xfId="20" applyNumberFormat="1" applyFont="1" applyFill="1" applyBorder="1" applyAlignment="1">
      <alignment horizontal="center" vertical="center" wrapText="1"/>
    </xf>
    <xf numFmtId="0" fontId="17" fillId="9" borderId="2" xfId="20" applyFont="1" applyFill="1" applyBorder="1" applyAlignment="1">
      <alignment vertical="center" wrapText="1"/>
    </xf>
    <xf numFmtId="0" fontId="23" fillId="0" borderId="0" xfId="0" applyFont="1" applyAlignment="1" applyProtection="1">
      <alignment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0" fontId="23" fillId="0" borderId="13" xfId="0" applyFont="1" applyBorder="1" applyAlignment="1">
      <alignment horizontal="center" vertical="center"/>
    </xf>
    <xf numFmtId="0" fontId="23" fillId="0" borderId="16" xfId="0" applyFont="1" applyBorder="1" applyAlignment="1">
      <alignment vertical="center"/>
    </xf>
    <xf numFmtId="14" fontId="18" fillId="0" borderId="13" xfId="0" applyNumberFormat="1" applyFont="1" applyBorder="1" applyAlignment="1" applyProtection="1">
      <alignment horizontal="center" vertical="center"/>
      <protection hidden="1"/>
    </xf>
    <xf numFmtId="0" fontId="23" fillId="0" borderId="16" xfId="0" applyFont="1" applyBorder="1" applyAlignment="1">
      <alignment horizontal="left" vertical="center"/>
    </xf>
    <xf numFmtId="0" fontId="23" fillId="0" borderId="17" xfId="0" applyFont="1" applyBorder="1" applyAlignment="1">
      <alignment vertical="center"/>
    </xf>
    <xf numFmtId="0" fontId="19" fillId="0" borderId="18" xfId="20" applyFont="1" applyBorder="1" applyAlignment="1">
      <alignment vertical="center"/>
    </xf>
    <xf numFmtId="0" fontId="23" fillId="0" borderId="16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166" fontId="29" fillId="0" borderId="2" xfId="20" applyNumberFormat="1" applyFont="1" applyBorder="1" applyAlignment="1">
      <alignment horizontal="center" vertical="center" wrapText="1"/>
    </xf>
    <xf numFmtId="169" fontId="17" fillId="0" borderId="2" xfId="10" applyNumberFormat="1" applyFont="1" applyBorder="1" applyAlignment="1">
      <alignment horizontal="center" vertical="center" wrapText="1"/>
    </xf>
    <xf numFmtId="0" fontId="19" fillId="9" borderId="2" xfId="20" applyFont="1" applyFill="1" applyBorder="1" applyAlignment="1">
      <alignment horizontal="center" vertical="center" wrapText="1"/>
    </xf>
    <xf numFmtId="44" fontId="17" fillId="0" borderId="2" xfId="1" applyFont="1" applyFill="1" applyBorder="1" applyAlignment="1">
      <alignment horizontal="center" vertical="center" wrapText="1"/>
    </xf>
    <xf numFmtId="0" fontId="18" fillId="0" borderId="13" xfId="0" applyFont="1" applyBorder="1" applyAlignment="1" applyProtection="1">
      <alignment horizontal="center" vertical="center"/>
      <protection hidden="1"/>
    </xf>
    <xf numFmtId="0" fontId="18" fillId="0" borderId="13" xfId="0" applyFont="1" applyBorder="1" applyAlignment="1" applyProtection="1">
      <alignment horizontal="center" vertical="center" wrapText="1"/>
      <protection hidden="1"/>
    </xf>
    <xf numFmtId="10" fontId="17" fillId="0" borderId="0" xfId="20" applyNumberFormat="1" applyFont="1"/>
    <xf numFmtId="0" fontId="25" fillId="11" borderId="0" xfId="0" applyFont="1" applyFill="1" applyAlignment="1" applyProtection="1">
      <alignment horizontal="center" vertical="top"/>
      <protection locked="0"/>
    </xf>
    <xf numFmtId="167" fontId="17" fillId="0" borderId="2" xfId="20" applyNumberFormat="1" applyFont="1" applyBorder="1" applyAlignment="1">
      <alignment horizontal="center" vertical="center" wrapText="1"/>
    </xf>
    <xf numFmtId="0" fontId="17" fillId="0" borderId="0" xfId="20" applyFont="1" applyAlignment="1">
      <alignment horizontal="left" vertical="center" wrapText="1"/>
    </xf>
    <xf numFmtId="0" fontId="23" fillId="0" borderId="0" xfId="20" applyFont="1"/>
    <xf numFmtId="10" fontId="17" fillId="14" borderId="2" xfId="20" applyNumberFormat="1" applyFont="1" applyFill="1" applyBorder="1" applyAlignment="1">
      <alignment horizontal="center" vertical="center" wrapText="1"/>
    </xf>
    <xf numFmtId="10" fontId="17" fillId="14" borderId="6" xfId="20" applyNumberFormat="1" applyFont="1" applyFill="1" applyBorder="1" applyAlignment="1">
      <alignment horizontal="center" vertical="center" wrapText="1"/>
    </xf>
    <xf numFmtId="0" fontId="24" fillId="12" borderId="20" xfId="0" applyFont="1" applyFill="1" applyBorder="1" applyAlignment="1" applyProtection="1">
      <alignment horizontal="center" vertical="center"/>
      <protection locked="0"/>
    </xf>
    <xf numFmtId="0" fontId="24" fillId="12" borderId="15" xfId="0" applyFont="1" applyFill="1" applyBorder="1" applyAlignment="1" applyProtection="1">
      <alignment horizontal="center" vertical="center"/>
      <protection locked="0"/>
    </xf>
    <xf numFmtId="0" fontId="24" fillId="12" borderId="20" xfId="0" applyFont="1" applyFill="1" applyBorder="1" applyAlignment="1" applyProtection="1">
      <alignment vertical="center"/>
      <protection locked="0"/>
    </xf>
    <xf numFmtId="0" fontId="24" fillId="12" borderId="15" xfId="0" applyFont="1" applyFill="1" applyBorder="1" applyAlignment="1" applyProtection="1">
      <alignment vertical="center"/>
      <protection locked="0"/>
    </xf>
    <xf numFmtId="0" fontId="17" fillId="0" borderId="19" xfId="20" applyFont="1" applyBorder="1"/>
    <xf numFmtId="8" fontId="43" fillId="0" borderId="13" xfId="1" applyNumberFormat="1" applyFont="1" applyBorder="1" applyAlignment="1" applyProtection="1">
      <alignment horizontal="center" vertical="center"/>
      <protection locked="0"/>
    </xf>
    <xf numFmtId="166" fontId="19" fillId="18" borderId="2" xfId="20" applyNumberFormat="1" applyFont="1" applyFill="1" applyBorder="1" applyAlignment="1">
      <alignment horizontal="center" vertical="center" wrapText="1"/>
    </xf>
    <xf numFmtId="166" fontId="19" fillId="19" borderId="2" xfId="20" applyNumberFormat="1" applyFont="1" applyFill="1" applyBorder="1" applyAlignment="1">
      <alignment horizontal="center" vertical="center" wrapText="1"/>
    </xf>
    <xf numFmtId="166" fontId="17" fillId="0" borderId="0" xfId="20" applyNumberFormat="1" applyFont="1" applyAlignment="1">
      <alignment horizontal="center" vertical="center" wrapText="1"/>
    </xf>
    <xf numFmtId="0" fontId="44" fillId="16" borderId="13" xfId="0" applyFont="1" applyFill="1" applyBorder="1" applyAlignment="1">
      <alignment horizontal="center" vertical="center"/>
    </xf>
    <xf numFmtId="0" fontId="45" fillId="15" borderId="13" xfId="0" applyFont="1" applyFill="1" applyBorder="1" applyAlignment="1">
      <alignment horizontal="center" vertical="center"/>
    </xf>
    <xf numFmtId="0" fontId="17" fillId="0" borderId="2" xfId="20" applyFont="1" applyBorder="1" applyAlignment="1">
      <alignment horizontal="left" vertical="center" wrapText="1"/>
    </xf>
    <xf numFmtId="0" fontId="19" fillId="9" borderId="4" xfId="20" applyFont="1" applyFill="1" applyBorder="1" applyAlignment="1">
      <alignment horizontal="center" vertical="center" wrapText="1"/>
    </xf>
    <xf numFmtId="0" fontId="19" fillId="9" borderId="5" xfId="20" applyFont="1" applyFill="1" applyBorder="1" applyAlignment="1">
      <alignment horizontal="center" vertical="center" wrapText="1"/>
    </xf>
    <xf numFmtId="171" fontId="21" fillId="0" borderId="13" xfId="0" applyNumberFormat="1" applyFont="1" applyBorder="1" applyAlignment="1">
      <alignment horizontal="center" vertical="center"/>
    </xf>
    <xf numFmtId="0" fontId="25" fillId="11" borderId="0" xfId="0" applyFont="1" applyFill="1" applyAlignment="1" applyProtection="1">
      <alignment horizontal="center" vertical="center"/>
      <protection locked="0"/>
    </xf>
    <xf numFmtId="0" fontId="17" fillId="0" borderId="19" xfId="20" applyFont="1" applyBorder="1" applyAlignment="1">
      <alignment vertical="center"/>
    </xf>
    <xf numFmtId="0" fontId="17" fillId="0" borderId="0" xfId="20" applyFont="1" applyAlignment="1">
      <alignment horizontal="center" vertical="center"/>
    </xf>
    <xf numFmtId="171" fontId="17" fillId="0" borderId="2" xfId="1" applyNumberFormat="1" applyFont="1" applyFill="1" applyBorder="1" applyAlignment="1">
      <alignment horizontal="center" vertical="center" wrapText="1"/>
    </xf>
    <xf numFmtId="171" fontId="17" fillId="0" borderId="10" xfId="1" applyNumberFormat="1" applyFont="1" applyFill="1" applyBorder="1" applyAlignment="1">
      <alignment horizontal="center" vertical="center" wrapText="1"/>
    </xf>
    <xf numFmtId="171" fontId="17" fillId="0" borderId="9" xfId="1" applyNumberFormat="1" applyFont="1" applyFill="1" applyBorder="1" applyAlignment="1">
      <alignment horizontal="center" vertical="center" wrapText="1"/>
    </xf>
    <xf numFmtId="172" fontId="17" fillId="19" borderId="13" xfId="1" applyNumberFormat="1" applyFont="1" applyFill="1" applyBorder="1" applyAlignment="1">
      <alignment horizontal="center" vertical="center"/>
    </xf>
    <xf numFmtId="171" fontId="44" fillId="16" borderId="13" xfId="0" applyNumberFormat="1" applyFont="1" applyFill="1" applyBorder="1" applyAlignment="1">
      <alignment horizontal="center" vertical="center"/>
    </xf>
    <xf numFmtId="171" fontId="47" fillId="16" borderId="13" xfId="0" applyNumberFormat="1" applyFont="1" applyFill="1" applyBorder="1" applyAlignment="1">
      <alignment horizontal="center" vertical="center"/>
    </xf>
    <xf numFmtId="172" fontId="40" fillId="15" borderId="13" xfId="0" applyNumberFormat="1" applyFont="1" applyFill="1" applyBorder="1" applyAlignment="1">
      <alignment horizontal="center" vertical="center"/>
    </xf>
    <xf numFmtId="171" fontId="40" fillId="15" borderId="13" xfId="0" applyNumberFormat="1" applyFont="1" applyFill="1" applyBorder="1" applyAlignment="1">
      <alignment horizontal="center" vertical="center"/>
    </xf>
    <xf numFmtId="0" fontId="19" fillId="0" borderId="4" xfId="20" applyFont="1" applyBorder="1" applyAlignment="1">
      <alignment vertical="center" wrapText="1"/>
    </xf>
    <xf numFmtId="0" fontId="19" fillId="9" borderId="13" xfId="20" applyFont="1" applyFill="1" applyBorder="1" applyAlignment="1">
      <alignment horizontal="center" vertical="center" wrapText="1"/>
    </xf>
    <xf numFmtId="171" fontId="17" fillId="0" borderId="7" xfId="20" applyNumberFormat="1" applyFont="1" applyBorder="1" applyAlignment="1">
      <alignment horizontal="center" vertical="center" wrapText="1"/>
    </xf>
    <xf numFmtId="171" fontId="17" fillId="0" borderId="5" xfId="20" applyNumberFormat="1" applyFont="1" applyBorder="1" applyAlignment="1">
      <alignment horizontal="center" vertical="center" wrapText="1"/>
    </xf>
    <xf numFmtId="171" fontId="0" fillId="0" borderId="0" xfId="0" applyNumberFormat="1"/>
    <xf numFmtId="0" fontId="24" fillId="12" borderId="15" xfId="0" applyFont="1" applyFill="1" applyBorder="1" applyAlignment="1" applyProtection="1">
      <alignment horizontal="center" vertical="center" wrapText="1"/>
      <protection locked="0"/>
    </xf>
    <xf numFmtId="166" fontId="17" fillId="20" borderId="2" xfId="20" applyNumberFormat="1" applyFont="1" applyFill="1" applyBorder="1" applyAlignment="1">
      <alignment horizontal="center" vertical="center" wrapText="1"/>
    </xf>
    <xf numFmtId="0" fontId="44" fillId="16" borderId="13" xfId="0" applyFont="1" applyFill="1" applyBorder="1" applyAlignment="1">
      <alignment horizontal="center" vertical="center"/>
    </xf>
    <xf numFmtId="0" fontId="46" fillId="19" borderId="13" xfId="0" applyFont="1" applyFill="1" applyBorder="1" applyAlignment="1">
      <alignment horizontal="center" vertical="center"/>
    </xf>
    <xf numFmtId="0" fontId="40" fillId="15" borderId="21" xfId="0" applyFont="1" applyFill="1" applyBorder="1" applyAlignment="1">
      <alignment horizontal="right" vertical="center"/>
    </xf>
    <xf numFmtId="0" fontId="40" fillId="15" borderId="16" xfId="0" applyFont="1" applyFill="1" applyBorder="1" applyAlignment="1">
      <alignment horizontal="right" vertical="center"/>
    </xf>
    <xf numFmtId="0" fontId="40" fillId="15" borderId="17" xfId="0" applyFont="1" applyFill="1" applyBorder="1" applyAlignment="1">
      <alignment horizontal="right" vertical="center"/>
    </xf>
    <xf numFmtId="0" fontId="23" fillId="13" borderId="0" xfId="0" applyFont="1" applyFill="1" applyAlignment="1" applyProtection="1">
      <alignment horizontal="center" vertical="center"/>
      <protection locked="0"/>
    </xf>
    <xf numFmtId="0" fontId="22" fillId="11" borderId="0" xfId="0" applyFont="1" applyFill="1" applyAlignment="1" applyProtection="1">
      <alignment horizontal="center"/>
      <protection locked="0"/>
    </xf>
    <xf numFmtId="0" fontId="25" fillId="11" borderId="0" xfId="0" applyFont="1" applyFill="1" applyAlignment="1" applyProtection="1">
      <alignment horizontal="center" vertical="top"/>
      <protection locked="0"/>
    </xf>
    <xf numFmtId="172" fontId="19" fillId="17" borderId="22" xfId="20" applyNumberFormat="1" applyFont="1" applyFill="1" applyBorder="1" applyAlignment="1">
      <alignment horizontal="center" vertical="center"/>
    </xf>
    <xf numFmtId="172" fontId="19" fillId="17" borderId="18" xfId="20" applyNumberFormat="1" applyFont="1" applyFill="1" applyBorder="1" applyAlignment="1">
      <alignment horizontal="center" vertical="center"/>
    </xf>
    <xf numFmtId="0" fontId="19" fillId="0" borderId="3" xfId="20" applyFont="1" applyBorder="1" applyAlignment="1">
      <alignment horizontal="left"/>
    </xf>
    <xf numFmtId="0" fontId="23" fillId="0" borderId="19" xfId="20" applyFont="1" applyBorder="1" applyAlignment="1">
      <alignment horizontal="left" vertical="center" wrapText="1"/>
    </xf>
    <xf numFmtId="0" fontId="23" fillId="0" borderId="0" xfId="20" applyFont="1" applyAlignment="1">
      <alignment horizontal="left" vertical="center" wrapText="1"/>
    </xf>
    <xf numFmtId="0" fontId="19" fillId="9" borderId="2" xfId="20" applyFont="1" applyFill="1" applyBorder="1" applyAlignment="1">
      <alignment horizontal="center" vertical="center" wrapText="1"/>
    </xf>
    <xf numFmtId="0" fontId="19" fillId="0" borderId="0" xfId="20" applyFont="1" applyAlignment="1">
      <alignment horizontal="left"/>
    </xf>
    <xf numFmtId="44" fontId="17" fillId="0" borderId="2" xfId="1" applyFont="1" applyFill="1" applyBorder="1" applyAlignment="1">
      <alignment horizontal="center" vertical="center" wrapText="1"/>
    </xf>
    <xf numFmtId="0" fontId="19" fillId="17" borderId="13" xfId="20" applyFont="1" applyFill="1" applyBorder="1" applyAlignment="1">
      <alignment horizontal="right"/>
    </xf>
    <xf numFmtId="0" fontId="17" fillId="0" borderId="2" xfId="20" applyFont="1" applyBorder="1" applyAlignment="1">
      <alignment horizontal="left" vertical="center" wrapText="1"/>
    </xf>
    <xf numFmtId="0" fontId="48" fillId="0" borderId="0" xfId="0" applyFont="1" applyAlignment="1" applyProtection="1">
      <alignment horizontal="center" vertical="center"/>
      <protection hidden="1"/>
    </xf>
    <xf numFmtId="0" fontId="20" fillId="0" borderId="0" xfId="20" applyFont="1" applyAlignment="1">
      <alignment horizontal="left" vertical="center" wrapText="1"/>
    </xf>
    <xf numFmtId="0" fontId="17" fillId="0" borderId="0" xfId="20" applyFont="1" applyAlignment="1">
      <alignment horizontal="left"/>
    </xf>
    <xf numFmtId="0" fontId="19" fillId="9" borderId="2" xfId="20" applyFont="1" applyFill="1" applyBorder="1" applyAlignment="1">
      <alignment horizontal="right" vertical="center" wrapText="1"/>
    </xf>
    <xf numFmtId="0" fontId="19" fillId="0" borderId="2" xfId="20" applyFont="1" applyBorder="1" applyAlignment="1">
      <alignment horizontal="center" vertical="center" wrapText="1"/>
    </xf>
    <xf numFmtId="0" fontId="19" fillId="18" borderId="2" xfId="20" applyFont="1" applyFill="1" applyBorder="1" applyAlignment="1">
      <alignment horizontal="center" vertical="center" wrapText="1"/>
    </xf>
    <xf numFmtId="0" fontId="17" fillId="0" borderId="0" xfId="20" applyFont="1" applyAlignment="1">
      <alignment horizontal="left" wrapText="1"/>
    </xf>
    <xf numFmtId="0" fontId="17" fillId="0" borderId="19" xfId="20" applyFont="1" applyBorder="1" applyAlignment="1">
      <alignment horizontal="left"/>
    </xf>
    <xf numFmtId="0" fontId="17" fillId="0" borderId="19" xfId="20" applyFont="1" applyBorder="1" applyAlignment="1">
      <alignment horizontal="center" vertical="center" wrapText="1"/>
    </xf>
    <xf numFmtId="0" fontId="19" fillId="0" borderId="0" xfId="20" applyFont="1" applyAlignment="1">
      <alignment horizontal="center"/>
    </xf>
    <xf numFmtId="0" fontId="17" fillId="0" borderId="0" xfId="20" applyFont="1" applyAlignment="1">
      <alignment horizontal="left" vertical="top" wrapText="1"/>
    </xf>
    <xf numFmtId="0" fontId="19" fillId="0" borderId="3" xfId="20" applyFont="1" applyBorder="1" applyAlignment="1">
      <alignment horizontal="center" vertical="center"/>
    </xf>
    <xf numFmtId="0" fontId="42" fillId="19" borderId="21" xfId="20" applyFont="1" applyFill="1" applyBorder="1" applyAlignment="1">
      <alignment horizontal="right"/>
    </xf>
    <xf numFmtId="0" fontId="42" fillId="19" borderId="16" xfId="20" applyFont="1" applyFill="1" applyBorder="1" applyAlignment="1">
      <alignment horizontal="right"/>
    </xf>
    <xf numFmtId="0" fontId="42" fillId="19" borderId="17" xfId="20" applyFont="1" applyFill="1" applyBorder="1" applyAlignment="1">
      <alignment horizontal="right"/>
    </xf>
    <xf numFmtId="0" fontId="19" fillId="0" borderId="2" xfId="20" applyFont="1" applyBorder="1" applyAlignment="1">
      <alignment horizontal="left" vertical="center" wrapText="1"/>
    </xf>
    <xf numFmtId="0" fontId="23" fillId="0" borderId="15" xfId="0" applyFont="1" applyBorder="1" applyAlignment="1" applyProtection="1">
      <alignment horizontal="center" vertical="center"/>
      <protection hidden="1"/>
    </xf>
    <xf numFmtId="0" fontId="34" fillId="0" borderId="19" xfId="20" applyFont="1" applyBorder="1" applyAlignment="1">
      <alignment horizontal="left" vertical="top" wrapText="1"/>
    </xf>
    <xf numFmtId="0" fontId="19" fillId="0" borderId="3" xfId="20" applyFont="1" applyBorder="1" applyAlignment="1">
      <alignment horizontal="center"/>
    </xf>
    <xf numFmtId="0" fontId="28" fillId="0" borderId="2" xfId="20" applyFont="1" applyBorder="1" applyAlignment="1">
      <alignment horizontal="left" vertical="center" wrapText="1"/>
    </xf>
    <xf numFmtId="0" fontId="17" fillId="0" borderId="8" xfId="20" applyFont="1" applyBorder="1" applyAlignment="1">
      <alignment horizontal="center" vertical="center" wrapText="1"/>
    </xf>
    <xf numFmtId="10" fontId="17" fillId="0" borderId="2" xfId="20" applyNumberFormat="1" applyFont="1" applyBorder="1" applyAlignment="1">
      <alignment horizontal="center" vertical="center" wrapText="1"/>
    </xf>
    <xf numFmtId="171" fontId="17" fillId="0" borderId="2" xfId="1" applyNumberFormat="1" applyFont="1" applyFill="1" applyBorder="1" applyAlignment="1">
      <alignment horizontal="center" vertical="center" wrapText="1"/>
    </xf>
    <xf numFmtId="172" fontId="19" fillId="17" borderId="21" xfId="20" applyNumberFormat="1" applyFont="1" applyFill="1" applyBorder="1" applyAlignment="1">
      <alignment horizontal="center" vertical="center"/>
    </xf>
    <xf numFmtId="172" fontId="19" fillId="17" borderId="16" xfId="20" applyNumberFormat="1" applyFont="1" applyFill="1" applyBorder="1" applyAlignment="1">
      <alignment horizontal="center" vertical="center"/>
    </xf>
  </cellXfs>
  <cellStyles count="54">
    <cellStyle name="Accent" xfId="3" xr:uid="{00000000-0005-0000-0000-000000000000}"/>
    <cellStyle name="Accent 1" xfId="4" xr:uid="{00000000-0005-0000-0000-000001000000}"/>
    <cellStyle name="Accent 2" xfId="5" xr:uid="{00000000-0005-0000-0000-000002000000}"/>
    <cellStyle name="Accent 3" xfId="6" xr:uid="{00000000-0005-0000-0000-000003000000}"/>
    <cellStyle name="Bad" xfId="7" xr:uid="{00000000-0005-0000-0000-000004000000}"/>
    <cellStyle name="Comma 2" xfId="36" xr:uid="{E9831814-E631-4E74-A487-1161A9743838}"/>
    <cellStyle name="Currency 2" xfId="37" xr:uid="{79649652-B4C9-4A46-882F-4FA64534E45D}"/>
    <cellStyle name="Currency 3" xfId="40" xr:uid="{F568A285-BB31-4F4D-9FD6-F3DE0FFB8D68}"/>
    <cellStyle name="Currency 4" xfId="43" xr:uid="{F2787A6F-74CE-49FC-BB0E-9569D0023DB7}"/>
    <cellStyle name="Error" xfId="8" xr:uid="{00000000-0005-0000-0000-000005000000}"/>
    <cellStyle name="Excel Built-in Currency" xfId="9" xr:uid="{00000000-0005-0000-0000-000006000000}"/>
    <cellStyle name="Excel Built-in Percent" xfId="10" xr:uid="{00000000-0005-0000-0000-000007000000}"/>
    <cellStyle name="Excel_BuiltIn_Currency" xfId="53" xr:uid="{37D7607E-60D3-44D7-BB01-381E074E181C}"/>
    <cellStyle name="Footnote" xfId="11" xr:uid="{00000000-0005-0000-0000-000008000000}"/>
    <cellStyle name="Good" xfId="12" xr:uid="{00000000-0005-0000-0000-000009000000}"/>
    <cellStyle name="Heading (user)" xfId="13" xr:uid="{00000000-0005-0000-0000-00000A000000}"/>
    <cellStyle name="Heading 1" xfId="14" xr:uid="{00000000-0005-0000-0000-00000B000000}"/>
    <cellStyle name="Heading 2" xfId="15" xr:uid="{00000000-0005-0000-0000-00000C000000}"/>
    <cellStyle name="Moeda" xfId="1" builtinId="4"/>
    <cellStyle name="Moeda 2" xfId="16" xr:uid="{00000000-0005-0000-0000-00000E000000}"/>
    <cellStyle name="Moeda 2 2" xfId="17" xr:uid="{00000000-0005-0000-0000-00000F000000}"/>
    <cellStyle name="Moeda 2 2 2" xfId="42" xr:uid="{0AB73855-45B2-4A69-8641-802A3CDD6767}"/>
    <cellStyle name="Moeda 3" xfId="18" xr:uid="{00000000-0005-0000-0000-000010000000}"/>
    <cellStyle name="Moeda 4" xfId="45" xr:uid="{EDC47218-0794-4828-99BA-E2D03A7BDF16}"/>
    <cellStyle name="Moeda 5" xfId="47" xr:uid="{9A5D8D9A-BAB9-4E7D-975A-F082D1F8F871}"/>
    <cellStyle name="Moeda 6" xfId="52" xr:uid="{924F7735-06F8-4621-8121-50CF01DD3A50}"/>
    <cellStyle name="Moeda 7" xfId="32" xr:uid="{AB335DF3-AEAD-402B-B3EF-592D3B00105B}"/>
    <cellStyle name="Neutral" xfId="19" xr:uid="{00000000-0005-0000-0000-000011000000}"/>
    <cellStyle name="Normal" xfId="0" builtinId="0" customBuiltin="1"/>
    <cellStyle name="Normal 2" xfId="20" xr:uid="{00000000-0005-0000-0000-000013000000}"/>
    <cellStyle name="Normal 2 2" xfId="21" xr:uid="{00000000-0005-0000-0000-000014000000}"/>
    <cellStyle name="Normal 2 2 2" xfId="44" xr:uid="{AE05DE50-281F-4F8B-9538-EFCB7935C41D}"/>
    <cellStyle name="Normal 2 3" xfId="22" xr:uid="{00000000-0005-0000-0000-000015000000}"/>
    <cellStyle name="Normal 2 4" xfId="23" xr:uid="{00000000-0005-0000-0000-000016000000}"/>
    <cellStyle name="Normal 3" xfId="24" xr:uid="{00000000-0005-0000-0000-000017000000}"/>
    <cellStyle name="Normal 3 2" xfId="38" xr:uid="{B2BFB3D3-D0C5-4422-8BE6-C369E9343308}"/>
    <cellStyle name="Normal 4" xfId="31" xr:uid="{FCA5121B-94E4-4BFC-99D2-450A136BAA22}"/>
    <cellStyle name="Normal 4 2" xfId="39" xr:uid="{BA3BFEEA-8434-4687-8E41-2C64E8E34EE3}"/>
    <cellStyle name="Normal 5" xfId="41" xr:uid="{8DF03905-C9C8-4256-B460-D1AF808B6C52}"/>
    <cellStyle name="Normal 5 2" xfId="46" xr:uid="{E401907F-740A-4088-B80C-30FAA51A6B23}"/>
    <cellStyle name="Normal 6" xfId="35" xr:uid="{28FC1947-385D-4B30-BCA9-2E2FF6CC5614}"/>
    <cellStyle name="Normal 7" xfId="50" xr:uid="{38B44B71-315A-4BFE-AAF7-1C87C0197367}"/>
    <cellStyle name="Note" xfId="25" xr:uid="{00000000-0005-0000-0000-000019000000}"/>
    <cellStyle name="Porcentagem" xfId="2" builtinId="5"/>
    <cellStyle name="Porcentagem 2" xfId="26" xr:uid="{00000000-0005-0000-0000-00001B000000}"/>
    <cellStyle name="Porcentagem 2 2" xfId="27" xr:uid="{00000000-0005-0000-0000-00001C000000}"/>
    <cellStyle name="Porcentagem 3" xfId="48" xr:uid="{453F4717-D4B7-4FB0-8AA6-E9AB7C12A744}"/>
    <cellStyle name="Porcentagem 4" xfId="51" xr:uid="{B40484F6-FC69-47F9-92FB-8A031775709A}"/>
    <cellStyle name="Porcentagem 5" xfId="33" xr:uid="{0906F723-D172-4884-A2A2-661248880BC2}"/>
    <cellStyle name="Status" xfId="28" xr:uid="{00000000-0005-0000-0000-00001D000000}"/>
    <cellStyle name="Text" xfId="29" xr:uid="{00000000-0005-0000-0000-00001E000000}"/>
    <cellStyle name="Vírgula 2" xfId="49" xr:uid="{A9BDF8BF-B71E-41E1-A205-1C45A9D95EF9}"/>
    <cellStyle name="Vírgula 3" xfId="34" xr:uid="{92161CCE-9532-45FA-850C-8EF56978FE3B}"/>
    <cellStyle name="Warning" xfId="30" xr:uid="{00000000-0005-0000-0000-000020000000}"/>
  </cellStyles>
  <dxfs count="0"/>
  <tableStyles count="0" defaultTableStyle="TableStyleMedium2" defaultPivotStyle="PivotStyleLight16"/>
  <colors>
    <mruColors>
      <color rgb="FF0000FF"/>
      <color rgb="FFFFE7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eu%20Drive\CURSOS%20E%20CAPACITA&#199;&#213;ES\2022\ONE\PLANILHA%20MODELO%20-%20LIMPEZA%20(PRODUTIVIDADE%20DIFERENCIADA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OTAS"/>
      <sheetName val="Proposta"/>
      <sheetName val="Encarregado"/>
      <sheetName val="Servente"/>
      <sheetName val="Servente_Insalubridade"/>
      <sheetName val="Insumos"/>
      <sheetName val="Postos_ATC"/>
      <sheetName val="Postos"/>
      <sheetName val="Preço_M2"/>
      <sheetName val="Área_Reitoria"/>
      <sheetName val="Área_ReitoriaX"/>
      <sheetName val="Área_Jaru"/>
      <sheetName val="Área_ZN"/>
      <sheetName val="Tipo_Limpeza"/>
      <sheetName val="IMR"/>
    </sheetNames>
    <sheetDataSet>
      <sheetData sheetId="0"/>
      <sheetData sheetId="1"/>
      <sheetData sheetId="2"/>
      <sheetData sheetId="3"/>
      <sheetData sheetId="4"/>
      <sheetData sheetId="5">
        <row r="34">
          <cell r="H34">
            <v>411.94928571428585</v>
          </cell>
        </row>
        <row r="78">
          <cell r="M78">
            <v>51.316269841269829</v>
          </cell>
        </row>
        <row r="100">
          <cell r="I100">
            <v>131.88999999999999</v>
          </cell>
        </row>
        <row r="109">
          <cell r="I109">
            <v>82.325000000000003</v>
          </cell>
        </row>
        <row r="125">
          <cell r="G125">
            <v>42.44</v>
          </cell>
        </row>
      </sheetData>
      <sheetData sheetId="6">
        <row r="4">
          <cell r="Q4">
            <v>3.9988222222222225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3C6355-8FB1-437D-B194-1CFE08C1D438}">
  <dimension ref="B3:K12"/>
  <sheetViews>
    <sheetView tabSelected="1" workbookViewId="0">
      <selection activeCell="J17" sqref="J17"/>
    </sheetView>
  </sheetViews>
  <sheetFormatPr defaultRowHeight="14"/>
  <cols>
    <col min="4" max="4" width="21.4140625" bestFit="1" customWidth="1"/>
    <col min="6" max="6" width="20.9140625" customWidth="1"/>
    <col min="7" max="7" width="10.1640625" bestFit="1" customWidth="1"/>
    <col min="8" max="8" width="16" customWidth="1"/>
    <col min="9" max="10" width="20" customWidth="1"/>
    <col min="11" max="11" width="21" customWidth="1"/>
  </cols>
  <sheetData>
    <row r="3" spans="2:11" ht="45" customHeight="1">
      <c r="B3" s="89" t="s">
        <v>156</v>
      </c>
      <c r="C3" s="89"/>
      <c r="D3" s="89"/>
      <c r="E3" s="89"/>
      <c r="F3" s="89"/>
      <c r="G3" s="89"/>
      <c r="H3" s="89"/>
      <c r="I3" s="89"/>
      <c r="J3" s="89"/>
      <c r="K3" s="89"/>
    </row>
    <row r="4" spans="2:11">
      <c r="B4" s="65" t="s">
        <v>148</v>
      </c>
      <c r="C4" s="65" t="s">
        <v>144</v>
      </c>
      <c r="D4" s="65" t="s">
        <v>149</v>
      </c>
      <c r="E4" s="65" t="s">
        <v>150</v>
      </c>
      <c r="F4" s="65" t="s">
        <v>151</v>
      </c>
      <c r="G4" s="65" t="s">
        <v>152</v>
      </c>
      <c r="H4" s="65" t="s">
        <v>153</v>
      </c>
      <c r="I4" s="65" t="s">
        <v>154</v>
      </c>
      <c r="J4" s="65" t="s">
        <v>155</v>
      </c>
      <c r="K4" s="65" t="s">
        <v>185</v>
      </c>
    </row>
    <row r="5" spans="2:11" ht="58.5" customHeight="1">
      <c r="B5" s="88">
        <v>1</v>
      </c>
      <c r="C5" s="64">
        <v>1</v>
      </c>
      <c r="D5" s="64" t="s">
        <v>181</v>
      </c>
      <c r="E5" s="64" t="s">
        <v>167</v>
      </c>
      <c r="F5" s="64" t="s">
        <v>145</v>
      </c>
      <c r="G5" s="64">
        <v>15</v>
      </c>
      <c r="H5" s="78">
        <f>POSTO!E159</f>
        <v>5549.16</v>
      </c>
      <c r="I5" s="77">
        <f>G5*H5</f>
        <v>83237.399999999994</v>
      </c>
      <c r="J5" s="77">
        <f>I5*12</f>
        <v>998848.79999999993</v>
      </c>
      <c r="K5" s="77">
        <f>I5*24</f>
        <v>1997697.5999999999</v>
      </c>
    </row>
    <row r="6" spans="2:11" ht="58.5" customHeight="1">
      <c r="B6" s="88"/>
      <c r="C6" s="64"/>
      <c r="D6" s="64" t="s">
        <v>182</v>
      </c>
      <c r="E6" s="64" t="s">
        <v>167</v>
      </c>
      <c r="F6" s="64" t="s">
        <v>145</v>
      </c>
      <c r="G6" s="64">
        <v>3</v>
      </c>
      <c r="H6" s="78">
        <f>POSTO!F159</f>
        <v>5589.96</v>
      </c>
      <c r="I6" s="77">
        <f>G6*H6</f>
        <v>16769.88</v>
      </c>
      <c r="J6" s="77">
        <f>I6*12</f>
        <v>201238.56</v>
      </c>
      <c r="K6" s="77">
        <f>I6*24</f>
        <v>402477.12</v>
      </c>
    </row>
    <row r="7" spans="2:11" ht="45.75" customHeight="1">
      <c r="B7" s="88"/>
      <c r="C7" s="64">
        <v>2</v>
      </c>
      <c r="D7" s="64" t="s">
        <v>183</v>
      </c>
      <c r="E7" s="64" t="s">
        <v>167</v>
      </c>
      <c r="F7" s="64" t="s">
        <v>145</v>
      </c>
      <c r="G7" s="64">
        <v>3</v>
      </c>
      <c r="H7" s="78">
        <f>POSTO!G159</f>
        <v>5464.8</v>
      </c>
      <c r="I7" s="77">
        <f>G7*H7</f>
        <v>16394.400000000001</v>
      </c>
      <c r="J7" s="77">
        <f>I7*12</f>
        <v>196732.80000000002</v>
      </c>
      <c r="K7" s="77">
        <f>I7*24</f>
        <v>393465.60000000003</v>
      </c>
    </row>
    <row r="8" spans="2:11" ht="25.5" customHeight="1">
      <c r="B8" s="90" t="s">
        <v>159</v>
      </c>
      <c r="C8" s="91"/>
      <c r="D8" s="91"/>
      <c r="E8" s="91"/>
      <c r="F8" s="91"/>
      <c r="G8" s="91"/>
      <c r="H8" s="92"/>
      <c r="I8" s="79">
        <f>SUM(I5:I7)</f>
        <v>116401.68</v>
      </c>
      <c r="J8" s="80">
        <f>SUM(J5:J7)</f>
        <v>1396820.16</v>
      </c>
      <c r="K8" s="80">
        <f>SUM(K5:K7)</f>
        <v>2793640.32</v>
      </c>
    </row>
    <row r="12" spans="2:11">
      <c r="K12" s="85"/>
    </row>
  </sheetData>
  <mergeCells count="3">
    <mergeCell ref="B5:B7"/>
    <mergeCell ref="B3:K3"/>
    <mergeCell ref="B8:H8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FC57C-B2F3-42FA-A2C3-8534B1A2D990}">
  <dimension ref="B2:AMI165"/>
  <sheetViews>
    <sheetView showGridLines="0" topLeftCell="A135" zoomScaleNormal="100" workbookViewId="0">
      <selection activeCell="D167" sqref="D167"/>
    </sheetView>
  </sheetViews>
  <sheetFormatPr defaultColWidth="8.6640625" defaultRowHeight="11.5"/>
  <cols>
    <col min="1" max="1" width="6.4140625" style="1" customWidth="1"/>
    <col min="2" max="2" width="6.1640625" style="3" customWidth="1"/>
    <col min="3" max="3" width="60.5" style="3" customWidth="1"/>
    <col min="4" max="4" width="20.1640625" style="3" customWidth="1"/>
    <col min="5" max="5" width="21" style="72" customWidth="1"/>
    <col min="6" max="7" width="21" style="4" customWidth="1"/>
    <col min="8" max="8" width="10.08203125" style="2" customWidth="1"/>
    <col min="9" max="254" width="8.5" style="2" customWidth="1"/>
    <col min="255" max="255" width="18.9140625" style="2" customWidth="1"/>
    <col min="256" max="256" width="17.58203125" style="2" customWidth="1"/>
    <col min="257" max="257" width="56.4140625" style="2" customWidth="1"/>
    <col min="258" max="258" width="24.9140625" style="2" customWidth="1"/>
    <col min="259" max="259" width="20.08203125" style="2" customWidth="1"/>
    <col min="260" max="260" width="11.08203125" style="2" customWidth="1"/>
    <col min="261" max="261" width="15.4140625" style="2" customWidth="1"/>
    <col min="262" max="510" width="8.5" style="2" customWidth="1"/>
    <col min="511" max="511" width="18.9140625" style="2" customWidth="1"/>
    <col min="512" max="512" width="17.58203125" style="2" customWidth="1"/>
    <col min="513" max="513" width="56.4140625" style="2" customWidth="1"/>
    <col min="514" max="514" width="24.9140625" style="2" customWidth="1"/>
    <col min="515" max="515" width="20.08203125" style="2" customWidth="1"/>
    <col min="516" max="516" width="11.08203125" style="2" customWidth="1"/>
    <col min="517" max="517" width="15.4140625" style="2" customWidth="1"/>
    <col min="518" max="766" width="8.5" style="2" customWidth="1"/>
    <col min="767" max="767" width="18.9140625" style="2" customWidth="1"/>
    <col min="768" max="768" width="17.58203125" style="2" customWidth="1"/>
    <col min="769" max="769" width="56.4140625" style="2" customWidth="1"/>
    <col min="770" max="770" width="24.9140625" style="2" customWidth="1"/>
    <col min="771" max="771" width="20.08203125" style="2" customWidth="1"/>
    <col min="772" max="772" width="11.08203125" style="2" customWidth="1"/>
    <col min="773" max="773" width="15.4140625" style="2" customWidth="1"/>
    <col min="774" max="1022" width="8.5" style="2" customWidth="1"/>
    <col min="1023" max="1023" width="18.9140625" style="2" customWidth="1"/>
    <col min="1024" max="16384" width="8.6640625" style="1"/>
  </cols>
  <sheetData>
    <row r="2" spans="2:7" ht="14">
      <c r="B2" s="94" t="s">
        <v>92</v>
      </c>
      <c r="C2" s="94"/>
      <c r="D2" s="94"/>
      <c r="E2" s="94"/>
      <c r="F2" s="94"/>
      <c r="G2" s="94"/>
    </row>
    <row r="3" spans="2:7">
      <c r="B3" s="95" t="s">
        <v>105</v>
      </c>
      <c r="C3" s="95"/>
      <c r="D3" s="95"/>
      <c r="E3" s="95"/>
      <c r="F3" s="95"/>
      <c r="G3" s="95"/>
    </row>
    <row r="4" spans="2:7">
      <c r="B4" s="49"/>
      <c r="C4" s="49"/>
      <c r="D4" s="49"/>
      <c r="E4" s="70"/>
      <c r="F4" s="49"/>
      <c r="G4" s="49"/>
    </row>
    <row r="5" spans="2:7" ht="16.25" customHeight="1">
      <c r="B5" s="93" t="s">
        <v>113</v>
      </c>
      <c r="C5" s="93"/>
      <c r="D5" s="93"/>
      <c r="E5" s="93"/>
      <c r="F5" s="93"/>
      <c r="G5" s="93"/>
    </row>
    <row r="6" spans="2:7" ht="15.75" customHeight="1">
      <c r="B6" s="32"/>
      <c r="C6" s="32"/>
      <c r="D6" s="33"/>
      <c r="E6" s="32"/>
      <c r="F6" s="32"/>
      <c r="G6" s="32"/>
    </row>
    <row r="7" spans="2:7" ht="14">
      <c r="B7" s="106" t="s">
        <v>164</v>
      </c>
      <c r="C7" s="106"/>
      <c r="D7" s="106"/>
      <c r="E7" s="106"/>
      <c r="F7" s="106"/>
      <c r="G7" s="2"/>
    </row>
    <row r="8" spans="2:7">
      <c r="B8" s="122"/>
      <c r="C8" s="122"/>
      <c r="D8" s="122"/>
      <c r="E8" s="122"/>
      <c r="F8" s="2"/>
      <c r="G8" s="2"/>
    </row>
    <row r="9" spans="2:7" ht="20.399999999999999" customHeight="1">
      <c r="B9" s="57"/>
      <c r="C9" s="58"/>
      <c r="D9" s="58"/>
      <c r="E9" s="58"/>
      <c r="F9" s="58"/>
      <c r="G9" s="58"/>
    </row>
    <row r="10" spans="2:7" ht="23">
      <c r="B10" s="55"/>
      <c r="C10" s="56"/>
      <c r="D10" s="56"/>
      <c r="E10" s="86" t="s">
        <v>173</v>
      </c>
      <c r="F10" s="86" t="s">
        <v>174</v>
      </c>
      <c r="G10" s="86" t="s">
        <v>177</v>
      </c>
    </row>
    <row r="11" spans="2:7">
      <c r="B11" s="34">
        <v>1</v>
      </c>
      <c r="C11" s="35" t="s">
        <v>130</v>
      </c>
      <c r="D11" s="35"/>
      <c r="E11" s="36"/>
      <c r="F11" s="36"/>
      <c r="G11" s="36"/>
    </row>
    <row r="12" spans="2:7">
      <c r="B12" s="34">
        <v>2</v>
      </c>
      <c r="C12" s="35" t="s">
        <v>99</v>
      </c>
      <c r="D12" s="1"/>
      <c r="E12" s="46" t="s">
        <v>165</v>
      </c>
      <c r="F12" s="46" t="s">
        <v>165</v>
      </c>
      <c r="G12" s="46" t="s">
        <v>165</v>
      </c>
    </row>
    <row r="13" spans="2:7">
      <c r="B13" s="34">
        <v>3</v>
      </c>
      <c r="C13" s="35" t="s">
        <v>100</v>
      </c>
      <c r="D13" s="40"/>
      <c r="E13" s="46" t="s">
        <v>166</v>
      </c>
      <c r="F13" s="46" t="s">
        <v>166</v>
      </c>
      <c r="G13" s="46" t="s">
        <v>166</v>
      </c>
    </row>
    <row r="14" spans="2:7">
      <c r="B14" s="34">
        <v>4</v>
      </c>
      <c r="C14" s="35" t="s">
        <v>4</v>
      </c>
      <c r="D14" s="35"/>
      <c r="E14" s="46" t="s">
        <v>145</v>
      </c>
      <c r="F14" s="46" t="s">
        <v>145</v>
      </c>
      <c r="G14" s="46" t="s">
        <v>145</v>
      </c>
    </row>
    <row r="15" spans="2:7">
      <c r="B15" s="34">
        <v>5</v>
      </c>
      <c r="C15" s="35" t="s">
        <v>93</v>
      </c>
      <c r="D15" s="35"/>
      <c r="E15" s="46">
        <v>15</v>
      </c>
      <c r="F15" s="46">
        <v>3</v>
      </c>
      <c r="G15" s="46">
        <v>3</v>
      </c>
    </row>
    <row r="16" spans="2:7">
      <c r="B16" s="34">
        <v>6</v>
      </c>
      <c r="C16" s="35" t="s">
        <v>94</v>
      </c>
      <c r="D16" s="35"/>
      <c r="E16" s="46">
        <v>1</v>
      </c>
      <c r="F16" s="46">
        <v>1</v>
      </c>
      <c r="G16" s="46">
        <v>1</v>
      </c>
    </row>
    <row r="17" spans="2:9">
      <c r="B17" s="34">
        <v>7</v>
      </c>
      <c r="C17" s="35" t="s">
        <v>3</v>
      </c>
      <c r="D17" s="35"/>
      <c r="E17" s="46" t="s">
        <v>146</v>
      </c>
      <c r="F17" s="46" t="s">
        <v>146</v>
      </c>
      <c r="G17" s="46" t="s">
        <v>146</v>
      </c>
    </row>
    <row r="18" spans="2:9">
      <c r="B18" s="34">
        <v>8</v>
      </c>
      <c r="C18" s="35" t="s">
        <v>95</v>
      </c>
      <c r="D18" s="35"/>
      <c r="E18" s="60">
        <v>2135.33</v>
      </c>
      <c r="F18" s="60">
        <v>2135.33</v>
      </c>
      <c r="G18" s="60">
        <v>2135.33</v>
      </c>
    </row>
    <row r="19" spans="2:9" ht="18" customHeight="1">
      <c r="B19" s="34">
        <v>9</v>
      </c>
      <c r="C19" s="35" t="s">
        <v>5</v>
      </c>
      <c r="D19" s="35"/>
      <c r="E19" s="41" t="s">
        <v>167</v>
      </c>
      <c r="F19" s="41" t="s">
        <v>167</v>
      </c>
      <c r="G19" s="41" t="s">
        <v>167</v>
      </c>
    </row>
    <row r="20" spans="2:9" ht="23">
      <c r="B20" s="34">
        <v>10</v>
      </c>
      <c r="C20" s="37" t="s">
        <v>96</v>
      </c>
      <c r="D20" s="38" t="s">
        <v>169</v>
      </c>
      <c r="E20" s="47" t="s">
        <v>172</v>
      </c>
      <c r="F20" s="47" t="s">
        <v>172</v>
      </c>
      <c r="G20" s="47" t="s">
        <v>172</v>
      </c>
    </row>
    <row r="21" spans="2:9">
      <c r="B21" s="34">
        <v>11</v>
      </c>
      <c r="C21" s="37" t="s">
        <v>112</v>
      </c>
      <c r="D21" s="38"/>
      <c r="E21" s="47" t="s">
        <v>168</v>
      </c>
      <c r="F21" s="47" t="s">
        <v>170</v>
      </c>
      <c r="G21" s="47" t="s">
        <v>178</v>
      </c>
    </row>
    <row r="22" spans="2:9">
      <c r="B22" s="34">
        <v>12</v>
      </c>
      <c r="C22" s="37" t="s">
        <v>97</v>
      </c>
      <c r="D22" s="38"/>
      <c r="E22" s="46" t="s">
        <v>171</v>
      </c>
      <c r="F22" s="46" t="s">
        <v>171</v>
      </c>
      <c r="G22" s="46" t="s">
        <v>171</v>
      </c>
    </row>
    <row r="23" spans="2:9">
      <c r="B23" s="34">
        <v>13</v>
      </c>
      <c r="C23" s="37" t="s">
        <v>98</v>
      </c>
      <c r="D23" s="38"/>
      <c r="E23" s="36" t="s">
        <v>147</v>
      </c>
      <c r="F23" s="36" t="s">
        <v>147</v>
      </c>
      <c r="G23" s="36" t="s">
        <v>147</v>
      </c>
    </row>
    <row r="24" spans="2:9">
      <c r="B24" s="39"/>
      <c r="C24" s="39"/>
      <c r="D24" s="39"/>
      <c r="E24" s="39"/>
      <c r="F24" s="39"/>
      <c r="G24" s="39"/>
    </row>
    <row r="25" spans="2:9">
      <c r="B25" s="117" t="s">
        <v>6</v>
      </c>
      <c r="C25" s="117"/>
      <c r="D25" s="117"/>
      <c r="E25" s="117"/>
      <c r="F25" s="2"/>
      <c r="G25" s="2"/>
    </row>
    <row r="26" spans="2:9">
      <c r="B26" s="44">
        <v>1</v>
      </c>
      <c r="C26" s="101" t="s">
        <v>7</v>
      </c>
      <c r="D26" s="101"/>
      <c r="E26" s="44" t="s">
        <v>8</v>
      </c>
      <c r="F26" s="44" t="s">
        <v>8</v>
      </c>
      <c r="G26" s="44" t="s">
        <v>8</v>
      </c>
    </row>
    <row r="27" spans="2:9" ht="26.25" customHeight="1">
      <c r="B27" s="5" t="s">
        <v>9</v>
      </c>
      <c r="C27" s="121" t="s">
        <v>142</v>
      </c>
      <c r="D27" s="121"/>
      <c r="E27" s="7">
        <f>(2135.33/220)*6*30</f>
        <v>1747.088181818182</v>
      </c>
      <c r="F27" s="7">
        <f>E27</f>
        <v>1747.088181818182</v>
      </c>
      <c r="G27" s="7">
        <f>F27</f>
        <v>1747.088181818182</v>
      </c>
      <c r="H27" s="2" t="s">
        <v>175</v>
      </c>
    </row>
    <row r="28" spans="2:9">
      <c r="B28" s="5" t="s">
        <v>0</v>
      </c>
      <c r="C28" s="121" t="s">
        <v>80</v>
      </c>
      <c r="D28" s="121"/>
      <c r="E28" s="7">
        <f>E27*30%</f>
        <v>524.12645454545452</v>
      </c>
      <c r="F28" s="7">
        <f>F27*30%</f>
        <v>524.12645454545452</v>
      </c>
      <c r="G28" s="7">
        <f>G27*30%</f>
        <v>524.12645454545452</v>
      </c>
      <c r="H28" s="2" t="s">
        <v>176</v>
      </c>
    </row>
    <row r="29" spans="2:9">
      <c r="B29" s="5" t="s">
        <v>1</v>
      </c>
      <c r="C29" s="121" t="s">
        <v>81</v>
      </c>
      <c r="D29" s="121"/>
      <c r="E29" s="87"/>
      <c r="F29" s="87"/>
      <c r="G29" s="87"/>
    </row>
    <row r="30" spans="2:9">
      <c r="B30" s="5" t="s">
        <v>2</v>
      </c>
      <c r="C30" s="121" t="s">
        <v>106</v>
      </c>
      <c r="D30" s="121"/>
      <c r="E30" s="87"/>
      <c r="F30" s="87"/>
      <c r="G30" s="87"/>
    </row>
    <row r="31" spans="2:9" ht="21" customHeight="1">
      <c r="B31" s="5" t="s">
        <v>10</v>
      </c>
      <c r="C31" s="121" t="s">
        <v>107</v>
      </c>
      <c r="D31" s="121"/>
      <c r="E31" s="87"/>
      <c r="F31" s="87"/>
      <c r="G31" s="87"/>
      <c r="I31" s="10"/>
    </row>
    <row r="32" spans="2:9">
      <c r="B32" s="5" t="s">
        <v>11</v>
      </c>
      <c r="C32" s="121" t="s">
        <v>109</v>
      </c>
      <c r="D32" s="121"/>
      <c r="E32" s="87"/>
      <c r="F32" s="87"/>
      <c r="G32" s="87"/>
    </row>
    <row r="33" spans="2:7">
      <c r="B33" s="5" t="s">
        <v>12</v>
      </c>
      <c r="C33" s="121" t="s">
        <v>82</v>
      </c>
      <c r="D33" s="121"/>
      <c r="E33" s="87"/>
      <c r="F33" s="87"/>
      <c r="G33" s="87"/>
    </row>
    <row r="34" spans="2:7">
      <c r="B34" s="5" t="s">
        <v>13</v>
      </c>
      <c r="C34" s="121" t="s">
        <v>108</v>
      </c>
      <c r="D34" s="121"/>
      <c r="E34" s="87"/>
      <c r="F34" s="87"/>
      <c r="G34" s="87"/>
    </row>
    <row r="35" spans="2:7">
      <c r="B35" s="5"/>
      <c r="C35" s="105"/>
      <c r="D35" s="105"/>
      <c r="E35" s="7"/>
      <c r="F35" s="7"/>
      <c r="G35" s="7"/>
    </row>
    <row r="36" spans="2:7">
      <c r="B36" s="8"/>
      <c r="C36" s="109" t="s">
        <v>15</v>
      </c>
      <c r="D36" s="109"/>
      <c r="E36" s="9">
        <f>SUM(E27:E35)</f>
        <v>2271.2146363636366</v>
      </c>
      <c r="F36" s="9">
        <f>SUM(F27:F35)</f>
        <v>2271.2146363636366</v>
      </c>
      <c r="G36" s="9">
        <f>SUM(G27:G35)</f>
        <v>2271.2146363636366</v>
      </c>
    </row>
    <row r="37" spans="2:7" ht="20.399999999999999" customHeight="1">
      <c r="B37" s="114" t="s">
        <v>114</v>
      </c>
      <c r="C37" s="114"/>
      <c r="D37" s="114"/>
      <c r="E37" s="114"/>
      <c r="F37" s="2"/>
      <c r="G37" s="2"/>
    </row>
    <row r="38" spans="2:7" ht="12.65" customHeight="1">
      <c r="B38" s="51"/>
      <c r="C38" s="51"/>
      <c r="D38" s="51"/>
      <c r="E38" s="51"/>
      <c r="F38" s="51"/>
      <c r="G38" s="51"/>
    </row>
    <row r="39" spans="2:7">
      <c r="B39" s="115" t="s">
        <v>16</v>
      </c>
      <c r="C39" s="115"/>
      <c r="D39" s="115"/>
      <c r="E39" s="115"/>
      <c r="F39" s="2"/>
      <c r="G39" s="2"/>
    </row>
    <row r="40" spans="2:7">
      <c r="B40" s="98" t="s">
        <v>17</v>
      </c>
      <c r="C40" s="98"/>
      <c r="D40" s="98"/>
      <c r="E40" s="98"/>
      <c r="F40" s="2"/>
      <c r="G40" s="2"/>
    </row>
    <row r="41" spans="2:7">
      <c r="B41" s="44" t="s">
        <v>18</v>
      </c>
      <c r="C41" s="101" t="s">
        <v>19</v>
      </c>
      <c r="D41" s="101"/>
      <c r="E41" s="44" t="s">
        <v>8</v>
      </c>
      <c r="F41" s="44" t="s">
        <v>8</v>
      </c>
      <c r="G41" s="44" t="s">
        <v>8</v>
      </c>
    </row>
    <row r="42" spans="2:7">
      <c r="B42" s="5" t="s">
        <v>9</v>
      </c>
      <c r="C42" s="11" t="s">
        <v>83</v>
      </c>
      <c r="D42" s="12">
        <f>1/12</f>
        <v>8.3333333333333329E-2</v>
      </c>
      <c r="E42" s="7">
        <f>$E$36*D42</f>
        <v>189.26788636363636</v>
      </c>
      <c r="F42" s="7">
        <f>$F$36*D42</f>
        <v>189.26788636363636</v>
      </c>
      <c r="G42" s="7">
        <f>$F$36*D42</f>
        <v>189.26788636363636</v>
      </c>
    </row>
    <row r="43" spans="2:7">
      <c r="B43" s="5" t="s">
        <v>0</v>
      </c>
      <c r="C43" s="11" t="s">
        <v>131</v>
      </c>
      <c r="D43" s="12">
        <f>2.78%</f>
        <v>2.7799999999999998E-2</v>
      </c>
      <c r="E43" s="7">
        <f>$E$36*D43</f>
        <v>63.139766890909094</v>
      </c>
      <c r="F43" s="7">
        <f t="shared" ref="F43" si="0">$F$36*D43</f>
        <v>63.139766890909094</v>
      </c>
      <c r="G43" s="7">
        <f t="shared" ref="G43" si="1">$F$36*D43</f>
        <v>63.139766890909094</v>
      </c>
    </row>
    <row r="44" spans="2:7" ht="16.5" customHeight="1">
      <c r="B44" s="110" t="s">
        <v>20</v>
      </c>
      <c r="C44" s="110"/>
      <c r="D44" s="110"/>
      <c r="E44" s="13">
        <f>SUM(E42:E43)</f>
        <v>252.40765325454547</v>
      </c>
      <c r="F44" s="7">
        <f>SUM(F42:F43)</f>
        <v>252.40765325454547</v>
      </c>
      <c r="G44" s="7">
        <f>G42+G43</f>
        <v>252.40765325454547</v>
      </c>
    </row>
    <row r="45" spans="2:7" ht="23">
      <c r="B45" s="5" t="s">
        <v>1</v>
      </c>
      <c r="C45" s="11" t="s">
        <v>84</v>
      </c>
      <c r="D45" s="12">
        <f>D61</f>
        <v>0.39800000000000008</v>
      </c>
      <c r="E45" s="7">
        <f>(E42+E43)*D61</f>
        <v>100.45824599530911</v>
      </c>
      <c r="F45" s="7">
        <f>(F42+F43)*D61</f>
        <v>100.45824599530911</v>
      </c>
      <c r="G45" s="7">
        <f>(G42+G43)*D45</f>
        <v>100.45824599530911</v>
      </c>
    </row>
    <row r="46" spans="2:7" ht="16.5" customHeight="1">
      <c r="B46" s="111" t="s">
        <v>21</v>
      </c>
      <c r="C46" s="111"/>
      <c r="D46" s="111"/>
      <c r="E46" s="61">
        <f>E44+E45</f>
        <v>352.86589924985458</v>
      </c>
      <c r="F46" s="62">
        <f>F44+F45</f>
        <v>352.86589924985458</v>
      </c>
      <c r="G46" s="62">
        <f>G44+G45</f>
        <v>352.86589924985458</v>
      </c>
    </row>
    <row r="47" spans="2:7" ht="25.25" customHeight="1">
      <c r="B47" s="99" t="s">
        <v>143</v>
      </c>
      <c r="C47" s="99"/>
      <c r="D47" s="99"/>
      <c r="E47" s="99"/>
      <c r="F47" s="2"/>
      <c r="G47" s="2"/>
    </row>
    <row r="48" spans="2:7" ht="24" customHeight="1">
      <c r="B48" s="100" t="s">
        <v>115</v>
      </c>
      <c r="C48" s="100"/>
      <c r="D48" s="100"/>
      <c r="E48" s="100"/>
      <c r="F48" s="2"/>
      <c r="G48" s="2"/>
    </row>
    <row r="49" spans="2:8" ht="25.5" customHeight="1">
      <c r="B49" s="107" t="s">
        <v>132</v>
      </c>
      <c r="C49" s="107"/>
      <c r="D49" s="107"/>
      <c r="E49" s="107"/>
      <c r="F49" s="2"/>
      <c r="G49" s="2"/>
    </row>
    <row r="50" spans="2:8" ht="16.5" customHeight="1">
      <c r="B50" s="51"/>
      <c r="C50" s="51"/>
      <c r="D50" s="51"/>
      <c r="E50" s="51"/>
      <c r="F50" s="51"/>
      <c r="G50" s="51"/>
      <c r="H50" s="63"/>
    </row>
    <row r="51" spans="2:8" ht="16.5" customHeight="1">
      <c r="B51" s="98" t="s">
        <v>22</v>
      </c>
      <c r="C51" s="98"/>
      <c r="D51" s="98"/>
      <c r="E51" s="98"/>
      <c r="F51" s="2"/>
      <c r="G51" s="2"/>
      <c r="H51" s="63"/>
    </row>
    <row r="52" spans="2:8" ht="25.5" customHeight="1">
      <c r="B52" s="44" t="s">
        <v>23</v>
      </c>
      <c r="C52" s="14" t="s">
        <v>24</v>
      </c>
      <c r="D52" s="44" t="s">
        <v>25</v>
      </c>
      <c r="E52" s="44" t="s">
        <v>8</v>
      </c>
      <c r="F52" s="44" t="s">
        <v>8</v>
      </c>
      <c r="G52" s="44" t="s">
        <v>8</v>
      </c>
      <c r="H52" s="63"/>
    </row>
    <row r="53" spans="2:8" ht="29" customHeight="1">
      <c r="B53" s="5" t="s">
        <v>9</v>
      </c>
      <c r="C53" s="11" t="s">
        <v>79</v>
      </c>
      <c r="D53" s="12">
        <v>0.2</v>
      </c>
      <c r="E53" s="7">
        <f>D53*($E$36)</f>
        <v>454.24292727272734</v>
      </c>
      <c r="F53" s="7">
        <f>D53*($F$36)</f>
        <v>454.24292727272734</v>
      </c>
      <c r="G53" s="7">
        <f t="shared" ref="G53:G60" si="2">D53*($F$36)</f>
        <v>454.24292727272734</v>
      </c>
      <c r="H53" s="63"/>
    </row>
    <row r="54" spans="2:8" ht="16.5" customHeight="1">
      <c r="B54" s="5" t="s">
        <v>0</v>
      </c>
      <c r="C54" s="11" t="s">
        <v>26</v>
      </c>
      <c r="D54" s="12">
        <v>2.5000000000000001E-2</v>
      </c>
      <c r="E54" s="7">
        <f t="shared" ref="E54:E59" si="3">D54*$E$36</f>
        <v>56.780365909090918</v>
      </c>
      <c r="F54" s="7">
        <f t="shared" ref="F54:F60" si="4">D54*($F$36)</f>
        <v>56.780365909090918</v>
      </c>
      <c r="G54" s="7">
        <f t="shared" si="2"/>
        <v>56.780365909090918</v>
      </c>
      <c r="H54" s="63"/>
    </row>
    <row r="55" spans="2:8" ht="16.5" customHeight="1">
      <c r="B55" s="5" t="s">
        <v>1</v>
      </c>
      <c r="C55" s="11" t="s">
        <v>133</v>
      </c>
      <c r="D55" s="15">
        <v>0.06</v>
      </c>
      <c r="E55" s="7">
        <f t="shared" si="3"/>
        <v>136.27287818181819</v>
      </c>
      <c r="F55" s="7">
        <f t="shared" si="4"/>
        <v>136.27287818181819</v>
      </c>
      <c r="G55" s="7">
        <f t="shared" si="2"/>
        <v>136.27287818181819</v>
      </c>
      <c r="H55" s="63"/>
    </row>
    <row r="56" spans="2:8" ht="26.4" customHeight="1">
      <c r="B56" s="5" t="s">
        <v>2</v>
      </c>
      <c r="C56" s="11" t="s">
        <v>27</v>
      </c>
      <c r="D56" s="12">
        <v>1.4999999999999999E-2</v>
      </c>
      <c r="E56" s="7">
        <f>D56*$E$36</f>
        <v>34.068219545454546</v>
      </c>
      <c r="F56" s="7">
        <f t="shared" si="4"/>
        <v>34.068219545454546</v>
      </c>
      <c r="G56" s="7">
        <f t="shared" si="2"/>
        <v>34.068219545454546</v>
      </c>
      <c r="H56" s="63"/>
    </row>
    <row r="57" spans="2:8" ht="16.5" customHeight="1">
      <c r="B57" s="5" t="s">
        <v>10</v>
      </c>
      <c r="C57" s="11" t="s">
        <v>76</v>
      </c>
      <c r="D57" s="12">
        <v>0.01</v>
      </c>
      <c r="E57" s="7">
        <f>D57*$E$36</f>
        <v>22.712146363636368</v>
      </c>
      <c r="F57" s="7">
        <f t="shared" si="4"/>
        <v>22.712146363636368</v>
      </c>
      <c r="G57" s="7">
        <f t="shared" si="2"/>
        <v>22.712146363636368</v>
      </c>
      <c r="H57" s="63"/>
    </row>
    <row r="58" spans="2:8">
      <c r="B58" s="5" t="s">
        <v>11</v>
      </c>
      <c r="C58" s="11" t="s">
        <v>28</v>
      </c>
      <c r="D58" s="12">
        <v>6.0000000000000001E-3</v>
      </c>
      <c r="E58" s="7">
        <f t="shared" si="3"/>
        <v>13.62728781818182</v>
      </c>
      <c r="F58" s="7">
        <f t="shared" si="4"/>
        <v>13.62728781818182</v>
      </c>
      <c r="G58" s="7">
        <f t="shared" si="2"/>
        <v>13.62728781818182</v>
      </c>
    </row>
    <row r="59" spans="2:8">
      <c r="B59" s="5" t="s">
        <v>12</v>
      </c>
      <c r="C59" s="11" t="s">
        <v>29</v>
      </c>
      <c r="D59" s="12">
        <v>2E-3</v>
      </c>
      <c r="E59" s="7">
        <f t="shared" si="3"/>
        <v>4.542429272727273</v>
      </c>
      <c r="F59" s="7">
        <f t="shared" si="4"/>
        <v>4.542429272727273</v>
      </c>
      <c r="G59" s="7">
        <f t="shared" si="2"/>
        <v>4.542429272727273</v>
      </c>
    </row>
    <row r="60" spans="2:8" ht="16.5" customHeight="1">
      <c r="B60" s="5" t="s">
        <v>13</v>
      </c>
      <c r="C60" s="11" t="s">
        <v>30</v>
      </c>
      <c r="D60" s="12">
        <v>0.08</v>
      </c>
      <c r="E60" s="7">
        <f>D60*$E$36</f>
        <v>181.69717090909094</v>
      </c>
      <c r="F60" s="7">
        <f t="shared" si="4"/>
        <v>181.69717090909094</v>
      </c>
      <c r="G60" s="7">
        <f t="shared" si="2"/>
        <v>181.69717090909094</v>
      </c>
    </row>
    <row r="61" spans="2:8" ht="16.5" customHeight="1">
      <c r="B61" s="8"/>
      <c r="C61" s="14" t="s">
        <v>31</v>
      </c>
      <c r="D61" s="15">
        <f>SUM(D53:D60)</f>
        <v>0.39800000000000008</v>
      </c>
      <c r="E61" s="9">
        <f>SUM(E53:E60)</f>
        <v>903.94342527272738</v>
      </c>
      <c r="F61" s="9">
        <f>SUM(F53:F60)</f>
        <v>903.94342527272738</v>
      </c>
      <c r="G61" s="9">
        <f>SUM(G53:G60)</f>
        <v>903.94342527272738</v>
      </c>
    </row>
    <row r="62" spans="2:8">
      <c r="B62" s="59" t="s">
        <v>116</v>
      </c>
      <c r="C62" s="59"/>
      <c r="D62" s="59"/>
      <c r="E62" s="71"/>
      <c r="F62" s="59"/>
      <c r="G62" s="59"/>
    </row>
    <row r="63" spans="2:8">
      <c r="B63" s="108" t="s">
        <v>117</v>
      </c>
      <c r="C63" s="108"/>
      <c r="D63" s="108"/>
      <c r="E63" s="108"/>
      <c r="F63" s="48"/>
      <c r="G63" s="48"/>
    </row>
    <row r="64" spans="2:8">
      <c r="B64" s="108" t="s">
        <v>118</v>
      </c>
      <c r="C64" s="108"/>
      <c r="D64" s="108"/>
      <c r="E64" s="108"/>
      <c r="F64" s="48"/>
      <c r="G64" s="48"/>
    </row>
    <row r="65" spans="2:8" ht="16.5" customHeight="1">
      <c r="B65" s="1"/>
      <c r="C65" s="2"/>
      <c r="D65" s="2"/>
    </row>
    <row r="66" spans="2:8" ht="16.5" customHeight="1">
      <c r="B66" s="98" t="s">
        <v>32</v>
      </c>
      <c r="C66" s="98"/>
      <c r="D66" s="102"/>
      <c r="E66" s="98"/>
      <c r="F66" s="2"/>
      <c r="G66" s="2"/>
    </row>
    <row r="67" spans="2:8" ht="16.5" customHeight="1">
      <c r="B67" s="44" t="s">
        <v>37</v>
      </c>
      <c r="C67" s="67" t="s">
        <v>33</v>
      </c>
      <c r="D67" s="82" t="s">
        <v>163</v>
      </c>
      <c r="E67" s="68" t="s">
        <v>8</v>
      </c>
      <c r="F67" s="44" t="s">
        <v>8</v>
      </c>
      <c r="G67" s="44" t="s">
        <v>8</v>
      </c>
    </row>
    <row r="68" spans="2:8" ht="12" customHeight="1">
      <c r="B68" s="5" t="s">
        <v>9</v>
      </c>
      <c r="C68" s="81" t="s">
        <v>134</v>
      </c>
      <c r="D68" s="83">
        <v>4.3</v>
      </c>
      <c r="E68" s="50">
        <f>(D68*2*21)-(E27*6%)</f>
        <v>75.774709090909084</v>
      </c>
      <c r="F68" s="50">
        <f>(D69*2*21)-(F27*6%)</f>
        <v>105.17470909090909</v>
      </c>
      <c r="G68" s="50">
        <v>0</v>
      </c>
    </row>
    <row r="69" spans="2:8" ht="12" customHeight="1">
      <c r="B69" s="5"/>
      <c r="C69" s="81" t="s">
        <v>170</v>
      </c>
      <c r="D69" s="83">
        <v>5</v>
      </c>
      <c r="E69" s="50"/>
      <c r="F69" s="50"/>
      <c r="G69" s="50"/>
    </row>
    <row r="70" spans="2:8" ht="12" customHeight="1">
      <c r="B70" s="5"/>
      <c r="C70" s="81" t="s">
        <v>178</v>
      </c>
      <c r="D70" s="83">
        <v>0</v>
      </c>
      <c r="E70" s="50"/>
      <c r="F70" s="50"/>
      <c r="G70" s="50"/>
    </row>
    <row r="71" spans="2:8">
      <c r="B71" s="5" t="s">
        <v>0</v>
      </c>
      <c r="C71" s="81" t="s">
        <v>135</v>
      </c>
      <c r="D71" s="84">
        <v>0</v>
      </c>
      <c r="E71" s="7">
        <f>D71*21</f>
        <v>0</v>
      </c>
      <c r="F71" s="7">
        <f>D71*21</f>
        <v>0</v>
      </c>
      <c r="G71" s="7">
        <f>D71*21</f>
        <v>0</v>
      </c>
    </row>
    <row r="72" spans="2:8" ht="16.5" customHeight="1">
      <c r="B72" s="5" t="s">
        <v>1</v>
      </c>
      <c r="C72" s="125" t="s">
        <v>136</v>
      </c>
      <c r="D72" s="125"/>
      <c r="E72" s="42"/>
      <c r="F72" s="42"/>
      <c r="G72" s="42"/>
    </row>
    <row r="73" spans="2:8" ht="16.5" customHeight="1">
      <c r="B73" s="5" t="s">
        <v>2</v>
      </c>
      <c r="C73" s="121" t="s">
        <v>138</v>
      </c>
      <c r="D73" s="121"/>
      <c r="E73" s="7">
        <v>16</v>
      </c>
      <c r="F73" s="7">
        <v>16</v>
      </c>
      <c r="G73" s="7">
        <v>16</v>
      </c>
      <c r="H73" s="2" t="s">
        <v>179</v>
      </c>
    </row>
    <row r="74" spans="2:8" ht="26.25" customHeight="1">
      <c r="B74" s="5" t="s">
        <v>10</v>
      </c>
      <c r="C74" s="121" t="s">
        <v>138</v>
      </c>
      <c r="D74" s="121"/>
      <c r="E74" s="7"/>
      <c r="F74" s="7"/>
      <c r="G74" s="7"/>
    </row>
    <row r="75" spans="2:8" ht="16.5" customHeight="1">
      <c r="B75" s="5" t="s">
        <v>11</v>
      </c>
      <c r="C75" s="121" t="s">
        <v>138</v>
      </c>
      <c r="D75" s="121"/>
      <c r="E75" s="7"/>
      <c r="F75" s="7"/>
      <c r="G75" s="7"/>
    </row>
    <row r="76" spans="2:8" ht="16.5" customHeight="1">
      <c r="B76" s="5" t="s">
        <v>12</v>
      </c>
      <c r="C76" s="121" t="s">
        <v>138</v>
      </c>
      <c r="D76" s="121"/>
      <c r="E76" s="7"/>
      <c r="F76" s="7"/>
      <c r="G76" s="7"/>
    </row>
    <row r="77" spans="2:8">
      <c r="B77" s="5" t="s">
        <v>13</v>
      </c>
      <c r="C77" s="121"/>
      <c r="D77" s="121"/>
      <c r="E77" s="7"/>
      <c r="F77" s="7"/>
      <c r="G77" s="7"/>
    </row>
    <row r="78" spans="2:8" ht="27" customHeight="1">
      <c r="B78" s="5" t="s">
        <v>14</v>
      </c>
      <c r="C78" s="121" t="s">
        <v>137</v>
      </c>
      <c r="D78" s="121"/>
      <c r="E78" s="7"/>
      <c r="F78" s="7"/>
      <c r="G78" s="7"/>
    </row>
    <row r="79" spans="2:8">
      <c r="B79" s="101" t="s">
        <v>34</v>
      </c>
      <c r="C79" s="101"/>
      <c r="D79" s="101"/>
      <c r="E79" s="9">
        <f>SUM(E68:E78)</f>
        <v>91.774709090909084</v>
      </c>
      <c r="F79" s="9">
        <f>SUM(F68:F78)</f>
        <v>121.17470909090909</v>
      </c>
      <c r="G79" s="9">
        <f>SUM(G68:G78)</f>
        <v>16</v>
      </c>
    </row>
    <row r="80" spans="2:8">
      <c r="B80" s="113" t="s">
        <v>119</v>
      </c>
      <c r="C80" s="113"/>
      <c r="D80" s="113"/>
      <c r="E80" s="113"/>
      <c r="F80" s="2"/>
      <c r="G80" s="2"/>
    </row>
    <row r="81" spans="2:7" ht="31.25" customHeight="1">
      <c r="B81" s="112" t="s">
        <v>120</v>
      </c>
      <c r="C81" s="112"/>
      <c r="D81" s="112"/>
      <c r="E81" s="112"/>
      <c r="F81" s="2"/>
      <c r="G81" s="2"/>
    </row>
    <row r="82" spans="2:7">
      <c r="B82" s="2"/>
      <c r="C82" s="2"/>
      <c r="D82" s="2"/>
    </row>
    <row r="83" spans="2:7">
      <c r="B83" s="102" t="s">
        <v>35</v>
      </c>
      <c r="C83" s="102"/>
      <c r="D83" s="102"/>
    </row>
    <row r="84" spans="2:7" ht="16.5" customHeight="1">
      <c r="B84" s="44">
        <v>2</v>
      </c>
      <c r="C84" s="101" t="s">
        <v>36</v>
      </c>
      <c r="D84" s="101"/>
      <c r="E84" s="44" t="s">
        <v>8</v>
      </c>
      <c r="F84" s="44" t="s">
        <v>8</v>
      </c>
      <c r="G84" s="44" t="s">
        <v>8</v>
      </c>
    </row>
    <row r="85" spans="2:7" ht="29.4" customHeight="1">
      <c r="B85" s="5" t="s">
        <v>18</v>
      </c>
      <c r="C85" s="105" t="s">
        <v>19</v>
      </c>
      <c r="D85" s="105"/>
      <c r="E85" s="7">
        <f>E46</f>
        <v>352.86589924985458</v>
      </c>
      <c r="F85" s="7">
        <f>F46</f>
        <v>352.86589924985458</v>
      </c>
      <c r="G85" s="7">
        <f>G46</f>
        <v>352.86589924985458</v>
      </c>
    </row>
    <row r="86" spans="2:7" ht="16.5" customHeight="1">
      <c r="B86" s="5" t="s">
        <v>23</v>
      </c>
      <c r="C86" s="105" t="s">
        <v>24</v>
      </c>
      <c r="D86" s="105"/>
      <c r="E86" s="7">
        <f>E61</f>
        <v>903.94342527272738</v>
      </c>
      <c r="F86" s="7">
        <f>F61</f>
        <v>903.94342527272738</v>
      </c>
      <c r="G86" s="7">
        <f>G61</f>
        <v>903.94342527272738</v>
      </c>
    </row>
    <row r="87" spans="2:7" ht="21.65" customHeight="1">
      <c r="B87" s="5" t="s">
        <v>37</v>
      </c>
      <c r="C87" s="105" t="s">
        <v>33</v>
      </c>
      <c r="D87" s="105"/>
      <c r="E87" s="7">
        <f>E79</f>
        <v>91.774709090909084</v>
      </c>
      <c r="F87" s="7">
        <f>F79</f>
        <v>121.17470909090909</v>
      </c>
      <c r="G87" s="7">
        <f>G79</f>
        <v>16</v>
      </c>
    </row>
    <row r="88" spans="2:7">
      <c r="B88" s="101" t="s">
        <v>38</v>
      </c>
      <c r="C88" s="101"/>
      <c r="D88" s="101"/>
      <c r="E88" s="9">
        <f>SUM(E85:E87)</f>
        <v>1348.5840336134909</v>
      </c>
      <c r="F88" s="9">
        <f>SUM(F85:F87)</f>
        <v>1377.984033613491</v>
      </c>
      <c r="G88" s="9">
        <f>SUM(G85:G87)</f>
        <v>1272.8093245225818</v>
      </c>
    </row>
    <row r="89" spans="2:7">
      <c r="B89" s="2"/>
      <c r="C89" s="2"/>
      <c r="D89" s="2"/>
    </row>
    <row r="90" spans="2:7" ht="26.25" customHeight="1">
      <c r="B90" s="124" t="s">
        <v>39</v>
      </c>
      <c r="C90" s="124"/>
      <c r="D90" s="124"/>
      <c r="E90" s="124"/>
      <c r="F90" s="2"/>
      <c r="G90" s="2"/>
    </row>
    <row r="91" spans="2:7" ht="39" customHeight="1">
      <c r="B91" s="44">
        <v>3</v>
      </c>
      <c r="C91" s="101" t="s">
        <v>40</v>
      </c>
      <c r="D91" s="101"/>
      <c r="E91" s="44" t="s">
        <v>8</v>
      </c>
      <c r="F91" s="44" t="s">
        <v>8</v>
      </c>
      <c r="G91" s="44" t="s">
        <v>8</v>
      </c>
    </row>
    <row r="92" spans="2:7">
      <c r="B92" s="5" t="s">
        <v>9</v>
      </c>
      <c r="C92" s="16" t="s">
        <v>110</v>
      </c>
      <c r="D92" s="43">
        <f>((1/12)*5.55%)</f>
        <v>4.6249999999999998E-3</v>
      </c>
      <c r="E92" s="7">
        <f>$E$36*D92</f>
        <v>10.504367693181818</v>
      </c>
      <c r="F92" s="7">
        <f>$F$36*D92</f>
        <v>10.504367693181818</v>
      </c>
      <c r="G92" s="7">
        <f>$F$36*D92</f>
        <v>10.504367693181818</v>
      </c>
    </row>
    <row r="93" spans="2:7" ht="23">
      <c r="B93" s="5" t="s">
        <v>0</v>
      </c>
      <c r="C93" s="11" t="s">
        <v>85</v>
      </c>
      <c r="D93" s="43">
        <f>D92*D60</f>
        <v>3.6999999999999999E-4</v>
      </c>
      <c r="E93" s="7">
        <f>(E92*D60)</f>
        <v>0.84034941545454545</v>
      </c>
      <c r="F93" s="7">
        <f t="shared" ref="F93:F95" si="5">$F$36*D93</f>
        <v>0.84034941545454556</v>
      </c>
      <c r="G93" s="7">
        <f>$F$36*D93</f>
        <v>0.84034941545454556</v>
      </c>
    </row>
    <row r="94" spans="2:7" ht="16.5" customHeight="1">
      <c r="B94" s="5" t="s">
        <v>1</v>
      </c>
      <c r="C94" s="16" t="s">
        <v>86</v>
      </c>
      <c r="D94" s="43">
        <f>1.94%</f>
        <v>1.9400000000000001E-2</v>
      </c>
      <c r="E94" s="7">
        <f>E36*0.0194</f>
        <v>44.061563945454552</v>
      </c>
      <c r="F94" s="7">
        <f>F36*0.0194</f>
        <v>44.061563945454552</v>
      </c>
      <c r="G94" s="7">
        <f>G36*0.0194</f>
        <v>44.061563945454552</v>
      </c>
    </row>
    <row r="95" spans="2:7" ht="23">
      <c r="B95" s="5" t="s">
        <v>2</v>
      </c>
      <c r="C95" s="16" t="s">
        <v>87</v>
      </c>
      <c r="D95" s="12">
        <f>D94*D61</f>
        <v>7.7212000000000018E-3</v>
      </c>
      <c r="E95" s="7">
        <f>E94*D61</f>
        <v>17.536502450290914</v>
      </c>
      <c r="F95" s="7">
        <f t="shared" si="5"/>
        <v>17.536502450290914</v>
      </c>
      <c r="G95" s="7">
        <f>$F$36*D95</f>
        <v>17.536502450290914</v>
      </c>
    </row>
    <row r="96" spans="2:7" ht="23">
      <c r="B96" s="5" t="s">
        <v>10</v>
      </c>
      <c r="C96" s="17" t="s">
        <v>104</v>
      </c>
      <c r="D96" s="12">
        <f>((D94)*0.08)*0.4</f>
        <v>6.2080000000000002E-4</v>
      </c>
      <c r="E96" s="7">
        <f>((E94)*0.08)*0.4</f>
        <v>1.4099700462545457</v>
      </c>
      <c r="F96" s="7">
        <f>((F94)*0.08)*0.4</f>
        <v>1.4099700462545457</v>
      </c>
      <c r="G96" s="7">
        <f>((G94)*0.08)*0.4</f>
        <v>1.4099700462545457</v>
      </c>
    </row>
    <row r="97" spans="2:7">
      <c r="B97" s="5" t="s">
        <v>11</v>
      </c>
      <c r="C97" s="17" t="s">
        <v>111</v>
      </c>
      <c r="D97" s="12">
        <f>(((1+2/12+((1/3)/12))*0.08)*0.4)*0.9</f>
        <v>3.4400000000000007E-2</v>
      </c>
      <c r="E97" s="7">
        <f>(((E36+E42+E43)*0.08)*0.4)*0.9</f>
        <v>72.680321941003655</v>
      </c>
      <c r="F97" s="7">
        <f>(((F36+F42+F43)*0.08)*0.4)*0.9</f>
        <v>72.680321941003655</v>
      </c>
      <c r="G97" s="7">
        <f>(((G36+G42+G43)*0.08)*0.4)*0.9</f>
        <v>72.680321941003655</v>
      </c>
    </row>
    <row r="98" spans="2:7">
      <c r="B98" s="101" t="s">
        <v>41</v>
      </c>
      <c r="C98" s="101"/>
      <c r="D98" s="101"/>
      <c r="E98" s="9">
        <f>SUM(E92+E93+E94+E95+E97)</f>
        <v>145.62310544538548</v>
      </c>
      <c r="F98" s="9">
        <f>SUM(F92+F93+F94+F95+F97)</f>
        <v>145.62310544538548</v>
      </c>
      <c r="G98" s="9">
        <f>SUM(G92+G93+G94+G95+G97)</f>
        <v>145.62310544538548</v>
      </c>
    </row>
    <row r="99" spans="2:7" ht="29" customHeight="1">
      <c r="B99" s="123" t="s">
        <v>103</v>
      </c>
      <c r="C99" s="123"/>
      <c r="D99" s="123"/>
      <c r="E99" s="123"/>
      <c r="F99" s="2"/>
      <c r="G99" s="2"/>
    </row>
    <row r="100" spans="2:7" ht="15.75" customHeight="1">
      <c r="B100" s="115" t="s">
        <v>42</v>
      </c>
      <c r="C100" s="115"/>
      <c r="D100" s="115"/>
      <c r="E100" s="115"/>
      <c r="F100" s="2"/>
      <c r="G100" s="2"/>
    </row>
    <row r="101" spans="2:7">
      <c r="B101" s="102" t="s">
        <v>43</v>
      </c>
      <c r="C101" s="102"/>
      <c r="D101" s="102"/>
    </row>
    <row r="102" spans="2:7">
      <c r="B102" s="44" t="s">
        <v>44</v>
      </c>
      <c r="C102" s="101" t="s">
        <v>45</v>
      </c>
      <c r="D102" s="101"/>
      <c r="E102" s="44" t="s">
        <v>8</v>
      </c>
      <c r="F102" s="44" t="s">
        <v>8</v>
      </c>
      <c r="G102" s="44" t="s">
        <v>8</v>
      </c>
    </row>
    <row r="103" spans="2:7">
      <c r="B103" s="5" t="s">
        <v>9</v>
      </c>
      <c r="C103" s="16" t="s">
        <v>125</v>
      </c>
      <c r="D103" s="12">
        <v>8.3299999999999999E-2</v>
      </c>
      <c r="E103" s="7">
        <f>D103*$E$36</f>
        <v>189.19217920909094</v>
      </c>
      <c r="F103" s="7">
        <f>D103*$F$36</f>
        <v>189.19217920909094</v>
      </c>
      <c r="G103" s="7">
        <f>D103*$F$36</f>
        <v>189.19217920909094</v>
      </c>
    </row>
    <row r="104" spans="2:7" ht="23">
      <c r="B104" s="5" t="s">
        <v>0</v>
      </c>
      <c r="C104" s="16" t="s">
        <v>126</v>
      </c>
      <c r="D104" s="18">
        <f>(1/30/12)*3</f>
        <v>8.3333333333333332E-3</v>
      </c>
      <c r="E104" s="7">
        <f>(($E$36+E42+E43+E79+E98)/30/12)*3</f>
        <v>23.008500867953973</v>
      </c>
      <c r="F104" s="7">
        <f>(($F$36+F42+F43+F79+F98)/30/12)*3</f>
        <v>23.253500867953971</v>
      </c>
      <c r="G104" s="7">
        <f>(($F$36+G42+G43+G79+G98)/30/12)*3</f>
        <v>22.377044958863063</v>
      </c>
    </row>
    <row r="105" spans="2:7" ht="23">
      <c r="B105" s="5" t="s">
        <v>1</v>
      </c>
      <c r="C105" s="16" t="s">
        <v>127</v>
      </c>
      <c r="D105" s="18">
        <f>((1/30/12)*20)*0.02</f>
        <v>1.1111111111111111E-3</v>
      </c>
      <c r="E105" s="7">
        <f>($E$36+E42+E43+E79+E98)*D105</f>
        <v>3.0678001157271968</v>
      </c>
      <c r="F105" s="7">
        <f>($F36+F42+F43+F79+F98)*D105</f>
        <v>3.100466782393863</v>
      </c>
      <c r="G105" s="7">
        <f>($F36+G42+G43+G79+G98)*D105</f>
        <v>2.983605994515075</v>
      </c>
    </row>
    <row r="106" spans="2:7" ht="23">
      <c r="B106" s="5" t="s">
        <v>2</v>
      </c>
      <c r="C106" s="16" t="s">
        <v>128</v>
      </c>
      <c r="D106" s="18">
        <f>((1/30/12)*30)*0.08</f>
        <v>6.666666666666668E-3</v>
      </c>
      <c r="E106" s="7">
        <f>(((($E$36+E42+E43+E79+E98)/30/12)*30)*0.08)</f>
        <v>18.406800694363177</v>
      </c>
      <c r="F106" s="7">
        <f>(((($F$36+F42+F43+F79+F98)/30/12)*30)*0.08)</f>
        <v>18.602800694363179</v>
      </c>
      <c r="G106" s="7">
        <f>(((($F$36+G42+G43+G79+G98)/30/12)*30)*0.08)</f>
        <v>17.901635967090453</v>
      </c>
    </row>
    <row r="107" spans="2:7" ht="23">
      <c r="B107" s="5" t="s">
        <v>10</v>
      </c>
      <c r="C107" s="16" t="s">
        <v>129</v>
      </c>
      <c r="D107" s="18">
        <f>((1/30/12)*5)*0.4</f>
        <v>5.5555555555555566E-3</v>
      </c>
      <c r="E107" s="7">
        <f>(((($E$36+E42+E43+E79+E98)/30/12)*5)*0.4)</f>
        <v>15.339000578635984</v>
      </c>
      <c r="F107" s="7">
        <f>(((($F$36+F42+F43+F79+F98)/30/12)*5)*0.4)</f>
        <v>15.502333911969314</v>
      </c>
      <c r="G107" s="7">
        <f>(((($F$36+G42+G43+G79+G98)/30/12)*5)*0.4)</f>
        <v>14.918029972575376</v>
      </c>
    </row>
    <row r="108" spans="2:7" ht="23">
      <c r="B108" s="5" t="s">
        <v>11</v>
      </c>
      <c r="C108" s="16" t="s">
        <v>88</v>
      </c>
      <c r="D108" s="18">
        <f>D61</f>
        <v>0.39800000000000008</v>
      </c>
      <c r="E108" s="7">
        <f>(E103+E104+E105+E106+E107)*D61</f>
        <v>99.10768402337699</v>
      </c>
      <c r="F108" s="7">
        <f>(F103+F104+F105+F106+F107)*D61</f>
        <v>99.36121002337697</v>
      </c>
      <c r="G108" s="7">
        <f>(G103+G104+G105+G106+G107)*D61</f>
        <v>98.454253448649695</v>
      </c>
    </row>
    <row r="109" spans="2:7" ht="23">
      <c r="B109" s="5" t="s">
        <v>12</v>
      </c>
      <c r="C109" s="17" t="s">
        <v>89</v>
      </c>
      <c r="D109" s="18">
        <f>(((1+(1/3))*(4/12))/12)*0.01416</f>
        <v>5.2444444444444446E-4</v>
      </c>
      <c r="E109" s="7">
        <f>(((E36+(E36/3))*(4/12))/12)*0.01416</f>
        <v>1.1911258981818185</v>
      </c>
      <c r="F109" s="7">
        <f>(((F36+(F36/3))*(4/12))/12)*0.01416</f>
        <v>1.1911258981818185</v>
      </c>
      <c r="G109" s="7">
        <f>(((G36+(G36/3))*(4/12))/12)*0.01416</f>
        <v>1.1911258981818185</v>
      </c>
    </row>
    <row r="110" spans="2:7" ht="23">
      <c r="B110" s="5" t="s">
        <v>13</v>
      </c>
      <c r="C110" s="17" t="s">
        <v>90</v>
      </c>
      <c r="D110" s="18">
        <f>D61</f>
        <v>0.39800000000000008</v>
      </c>
      <c r="E110" s="7">
        <f>E109*D61</f>
        <v>0.47406810747636385</v>
      </c>
      <c r="F110" s="7">
        <f>F109*D61</f>
        <v>0.47406810747636385</v>
      </c>
      <c r="G110" s="7">
        <f>G109*D61</f>
        <v>0.47406810747636385</v>
      </c>
    </row>
    <row r="111" spans="2:7" ht="34.5">
      <c r="B111" s="5" t="s">
        <v>14</v>
      </c>
      <c r="C111" s="17" t="s">
        <v>91</v>
      </c>
      <c r="D111" s="18">
        <f>D61</f>
        <v>0.39800000000000008</v>
      </c>
      <c r="E111" s="7">
        <f>(((E36+(E36/12))*(4/12))*0.01416)*D61</f>
        <v>4.6221640478945476</v>
      </c>
      <c r="F111" s="7">
        <f>(((F36+(F36/12))*(4/12))*0.01416)*D61</f>
        <v>4.6221640478945476</v>
      </c>
      <c r="G111" s="7">
        <f>(((G36+(G36/12))*(4/12))*0.01416)*D61</f>
        <v>4.6221640478945476</v>
      </c>
    </row>
    <row r="112" spans="2:7">
      <c r="B112" s="101" t="s">
        <v>75</v>
      </c>
      <c r="C112" s="101"/>
      <c r="D112" s="101"/>
      <c r="E112" s="9">
        <f>SUM(E103:E111)</f>
        <v>354.40932354270103</v>
      </c>
      <c r="F112" s="9">
        <f>SUM(F103:F111)</f>
        <v>355.29984954270094</v>
      </c>
      <c r="G112" s="9">
        <f>SUM(G103:G111)</f>
        <v>352.11410760433733</v>
      </c>
    </row>
    <row r="113" spans="2:8" ht="16.5" customHeight="1">
      <c r="B113" s="123" t="s">
        <v>121</v>
      </c>
      <c r="C113" s="123"/>
      <c r="D113" s="123"/>
      <c r="E113" s="123"/>
      <c r="F113" s="2"/>
      <c r="G113" s="2"/>
    </row>
    <row r="114" spans="2:8" ht="31.25" customHeight="1">
      <c r="B114" s="116" t="s">
        <v>122</v>
      </c>
      <c r="C114" s="116"/>
      <c r="D114" s="116"/>
      <c r="E114" s="116"/>
      <c r="F114" s="2"/>
      <c r="G114" s="2"/>
    </row>
    <row r="115" spans="2:8" ht="16.5" customHeight="1">
      <c r="B115" s="102" t="s">
        <v>46</v>
      </c>
      <c r="C115" s="102"/>
      <c r="D115" s="102"/>
    </row>
    <row r="116" spans="2:8" ht="16.5" customHeight="1">
      <c r="B116" s="44" t="s">
        <v>47</v>
      </c>
      <c r="C116" s="101" t="s">
        <v>48</v>
      </c>
      <c r="D116" s="101"/>
      <c r="E116" s="44" t="s">
        <v>8</v>
      </c>
      <c r="F116" s="44" t="s">
        <v>8</v>
      </c>
      <c r="G116" s="44" t="s">
        <v>8</v>
      </c>
    </row>
    <row r="117" spans="2:8" ht="14">
      <c r="B117" s="5" t="s">
        <v>9</v>
      </c>
      <c r="C117" s="11" t="s">
        <v>77</v>
      </c>
      <c r="D117" s="18">
        <v>0</v>
      </c>
      <c r="E117" s="7"/>
      <c r="F117" s="7"/>
      <c r="G117" s="7"/>
      <c r="H117"/>
    </row>
    <row r="118" spans="2:8">
      <c r="B118" s="101" t="s">
        <v>49</v>
      </c>
      <c r="C118" s="101"/>
      <c r="D118" s="101"/>
      <c r="E118" s="9">
        <f>SUM(E117:E117)</f>
        <v>0</v>
      </c>
      <c r="F118" s="9">
        <f>SUM(F117:F117)</f>
        <v>0</v>
      </c>
      <c r="G118" s="9">
        <f>SUM(G117:G117)</f>
        <v>0</v>
      </c>
    </row>
    <row r="119" spans="2:8">
      <c r="B119" s="2"/>
      <c r="C119" s="2"/>
      <c r="D119" s="2"/>
    </row>
    <row r="120" spans="2:8">
      <c r="B120" s="102" t="s">
        <v>50</v>
      </c>
      <c r="C120" s="102"/>
      <c r="D120" s="102"/>
    </row>
    <row r="121" spans="2:8">
      <c r="B121" s="44">
        <v>4</v>
      </c>
      <c r="C121" s="101" t="s">
        <v>36</v>
      </c>
      <c r="D121" s="101"/>
      <c r="E121" s="44" t="s">
        <v>8</v>
      </c>
      <c r="F121" s="44" t="s">
        <v>8</v>
      </c>
      <c r="G121" s="44" t="s">
        <v>8</v>
      </c>
    </row>
    <row r="122" spans="2:8">
      <c r="B122" s="5" t="s">
        <v>44</v>
      </c>
      <c r="C122" s="105" t="s">
        <v>51</v>
      </c>
      <c r="D122" s="105"/>
      <c r="E122" s="7">
        <f>E112</f>
        <v>354.40932354270103</v>
      </c>
      <c r="F122" s="7">
        <f>F112</f>
        <v>355.29984954270094</v>
      </c>
      <c r="G122" s="7">
        <f>G112</f>
        <v>352.11410760433733</v>
      </c>
    </row>
    <row r="123" spans="2:8">
      <c r="B123" s="5" t="s">
        <v>47</v>
      </c>
      <c r="C123" s="105" t="s">
        <v>77</v>
      </c>
      <c r="D123" s="105"/>
      <c r="E123" s="7">
        <f>E118</f>
        <v>0</v>
      </c>
      <c r="F123" s="7">
        <f>F118</f>
        <v>0</v>
      </c>
      <c r="G123" s="7">
        <f>G118</f>
        <v>0</v>
      </c>
    </row>
    <row r="124" spans="2:8">
      <c r="B124" s="101" t="s">
        <v>38</v>
      </c>
      <c r="C124" s="101"/>
      <c r="D124" s="101"/>
      <c r="E124" s="9">
        <f>E122+E123</f>
        <v>354.40932354270103</v>
      </c>
      <c r="F124" s="9">
        <f>F122+F123</f>
        <v>355.29984954270094</v>
      </c>
      <c r="G124" s="9">
        <f>G122+G123</f>
        <v>352.11410760433733</v>
      </c>
    </row>
    <row r="125" spans="2:8">
      <c r="B125" s="2"/>
      <c r="C125" s="2"/>
      <c r="D125" s="2"/>
    </row>
    <row r="126" spans="2:8">
      <c r="B126" s="117" t="s">
        <v>52</v>
      </c>
      <c r="C126" s="117"/>
      <c r="D126" s="117"/>
      <c r="E126" s="117"/>
      <c r="F126" s="52"/>
      <c r="G126" s="52"/>
      <c r="H126" s="52"/>
    </row>
    <row r="127" spans="2:8">
      <c r="B127" s="44">
        <v>5</v>
      </c>
      <c r="C127" s="101" t="s">
        <v>53</v>
      </c>
      <c r="D127" s="101"/>
      <c r="E127" s="44" t="s">
        <v>8</v>
      </c>
      <c r="F127" s="44" t="s">
        <v>8</v>
      </c>
      <c r="G127" s="44" t="s">
        <v>8</v>
      </c>
      <c r="H127" s="52"/>
    </row>
    <row r="128" spans="2:8">
      <c r="B128" s="5" t="s">
        <v>9</v>
      </c>
      <c r="C128" s="105" t="s">
        <v>160</v>
      </c>
      <c r="D128" s="105"/>
      <c r="E128" s="69"/>
      <c r="F128" s="7"/>
      <c r="G128" s="7"/>
      <c r="H128" s="52"/>
    </row>
    <row r="129" spans="2:8">
      <c r="B129" s="5" t="s">
        <v>0</v>
      </c>
      <c r="C129" s="105" t="s">
        <v>180</v>
      </c>
      <c r="D129" s="105"/>
      <c r="E129" s="7"/>
      <c r="F129" s="7"/>
      <c r="G129" s="7"/>
      <c r="H129" s="52"/>
    </row>
    <row r="130" spans="2:8">
      <c r="B130" s="5" t="s">
        <v>1</v>
      </c>
      <c r="C130" s="66" t="s">
        <v>161</v>
      </c>
      <c r="D130" s="66"/>
      <c r="E130" s="7"/>
      <c r="F130" s="7"/>
      <c r="G130" s="7"/>
      <c r="H130" s="52"/>
    </row>
    <row r="131" spans="2:8">
      <c r="B131" s="5" t="s">
        <v>2</v>
      </c>
      <c r="C131" s="105" t="s">
        <v>102</v>
      </c>
      <c r="D131" s="105"/>
      <c r="E131" s="7"/>
      <c r="F131" s="7"/>
      <c r="G131" s="7"/>
      <c r="H131" s="52"/>
    </row>
    <row r="132" spans="2:8">
      <c r="B132" s="5" t="s">
        <v>10</v>
      </c>
      <c r="C132" s="105" t="s">
        <v>101</v>
      </c>
      <c r="D132" s="105"/>
      <c r="E132" s="7"/>
      <c r="F132" s="7"/>
      <c r="G132" s="7"/>
      <c r="H132" s="52"/>
    </row>
    <row r="133" spans="2:8" ht="26.25" customHeight="1">
      <c r="B133" s="101" t="s">
        <v>54</v>
      </c>
      <c r="C133" s="101"/>
      <c r="D133" s="101"/>
      <c r="E133" s="9">
        <f>SUM(E128:E132)</f>
        <v>0</v>
      </c>
      <c r="F133" s="9">
        <f>SUM(F128:F132)</f>
        <v>0</v>
      </c>
      <c r="G133" s="9">
        <f>SUM(G128:G132)</f>
        <v>0</v>
      </c>
    </row>
    <row r="134" spans="2:8" ht="16.5" customHeight="1">
      <c r="B134" s="2"/>
      <c r="C134" s="2"/>
      <c r="D134" s="2"/>
    </row>
    <row r="135" spans="2:8" ht="16.5" customHeight="1">
      <c r="B135" s="117" t="s">
        <v>55</v>
      </c>
      <c r="C135" s="117"/>
      <c r="D135" s="117"/>
      <c r="E135" s="117"/>
      <c r="F135" s="2"/>
      <c r="G135" s="2"/>
    </row>
    <row r="136" spans="2:8" ht="16.5" customHeight="1">
      <c r="B136" s="44">
        <v>6</v>
      </c>
      <c r="C136" s="14" t="s">
        <v>56</v>
      </c>
      <c r="D136" s="44" t="s">
        <v>57</v>
      </c>
      <c r="E136" s="19" t="s">
        <v>8</v>
      </c>
      <c r="F136" s="19" t="s">
        <v>8</v>
      </c>
      <c r="G136" s="19" t="s">
        <v>8</v>
      </c>
    </row>
    <row r="137" spans="2:8" ht="16.5" customHeight="1">
      <c r="B137" s="5" t="s">
        <v>9</v>
      </c>
      <c r="C137" s="11" t="s">
        <v>58</v>
      </c>
      <c r="D137" s="22">
        <v>0.05</v>
      </c>
      <c r="E137" s="73">
        <f>E157*D137</f>
        <v>205.9915549482607</v>
      </c>
      <c r="F137" s="45">
        <f>F157*D137</f>
        <v>207.50608124826073</v>
      </c>
      <c r="G137" s="45">
        <f>G157*D137</f>
        <v>202.08805869679708</v>
      </c>
      <c r="H137"/>
    </row>
    <row r="138" spans="2:8" ht="16.5" customHeight="1">
      <c r="B138" s="5" t="s">
        <v>0</v>
      </c>
      <c r="C138" s="20" t="s">
        <v>59</v>
      </c>
      <c r="D138" s="21">
        <v>0.1</v>
      </c>
      <c r="E138" s="73">
        <f>(E157+E137)*D138</f>
        <v>432.58226539134739</v>
      </c>
      <c r="F138" s="45">
        <f>(F157+F137)*D138</f>
        <v>435.7627706213475</v>
      </c>
      <c r="G138" s="45">
        <f>(G157+G137)*D138</f>
        <v>424.38492326327389</v>
      </c>
      <c r="H138"/>
    </row>
    <row r="139" spans="2:8" ht="16.5" customHeight="1">
      <c r="B139" s="126" t="s">
        <v>1</v>
      </c>
      <c r="C139" s="11" t="s">
        <v>60</v>
      </c>
      <c r="D139" s="22"/>
      <c r="E139" s="73"/>
      <c r="F139" s="45"/>
      <c r="G139" s="45"/>
    </row>
    <row r="140" spans="2:8" ht="16.5" customHeight="1">
      <c r="B140" s="126"/>
      <c r="C140" s="23" t="s">
        <v>78</v>
      </c>
      <c r="D140" s="24"/>
      <c r="E140" s="74"/>
      <c r="F140" s="25"/>
      <c r="G140" s="25"/>
    </row>
    <row r="141" spans="2:8">
      <c r="B141" s="126"/>
      <c r="C141" s="11" t="s">
        <v>139</v>
      </c>
      <c r="D141" s="53">
        <v>1.6500000000000001E-2</v>
      </c>
      <c r="E141" s="73">
        <f>($E$137+$E$138+$E$157)/(1-($D$141+$D$142+$D$144))*D141</f>
        <v>91.561144219859543</v>
      </c>
      <c r="F141" s="45">
        <f>($F$137+$F$138+$F$157)/(1-($D$141+$D$142+$D$144))*D141</f>
        <v>92.234335705859564</v>
      </c>
      <c r="G141" s="45">
        <f>($F$137+$F$138+$F$157)/(1-($D$141+$D$142+$D$144))*D141</f>
        <v>92.234335705859564</v>
      </c>
    </row>
    <row r="142" spans="2:8">
      <c r="B142" s="126"/>
      <c r="C142" s="26" t="s">
        <v>140</v>
      </c>
      <c r="D142" s="54">
        <v>7.5999999999999998E-2</v>
      </c>
      <c r="E142" s="73">
        <f>($E$137+$E$138+$E$157)/(1-($D$141+$D$142+$D$144))*D142</f>
        <v>421.73617943692881</v>
      </c>
      <c r="F142" s="45">
        <f>($F$137+$F$138+$F$157)/(1-($D$141+$D$142+$D$144))*D142</f>
        <v>424.83694022092885</v>
      </c>
      <c r="G142" s="45">
        <f>($F$137+$F$138+$F$157)/(1-($D$141+$D$142+$D$144))*D142</f>
        <v>424.83694022092885</v>
      </c>
    </row>
    <row r="143" spans="2:8" ht="23">
      <c r="B143" s="126"/>
      <c r="C143" s="11" t="s">
        <v>141</v>
      </c>
      <c r="D143" s="27"/>
      <c r="E143" s="75" t="str">
        <f>IF(D143="","",(E157+E137+E138+E144)*D143)</f>
        <v/>
      </c>
      <c r="F143" s="28" t="str">
        <f>IF(D143="","",(F157+F137+F138+F144)*D143)</f>
        <v/>
      </c>
      <c r="G143" s="28" t="str">
        <f>IF(E143="","",(G157+G137+G138+G144)*E143)</f>
        <v/>
      </c>
    </row>
    <row r="144" spans="2:8" ht="14">
      <c r="B144" s="126"/>
      <c r="C144" s="29" t="s">
        <v>61</v>
      </c>
      <c r="D144" s="127">
        <v>0.05</v>
      </c>
      <c r="E144" s="128">
        <f>($E$137+$E$138+$E$157)/(1-($D$141+$D$142+$D$144))*D144</f>
        <v>277.45801278745319</v>
      </c>
      <c r="F144" s="103">
        <f>($F$137+$F$138+$F$157)/(1-($D$141+$D$142+$D$144))*D144</f>
        <v>279.4979869874532</v>
      </c>
      <c r="G144" s="103">
        <f>($F$137+$F$138+$F$157)/(1-($D$141+$D$142+$D$144))*D144</f>
        <v>279.4979869874532</v>
      </c>
      <c r="H144"/>
    </row>
    <row r="145" spans="2:7">
      <c r="B145" s="126"/>
      <c r="C145" s="26" t="s">
        <v>62</v>
      </c>
      <c r="D145" s="127"/>
      <c r="E145" s="128"/>
      <c r="F145" s="103"/>
      <c r="G145" s="103"/>
    </row>
    <row r="146" spans="2:7">
      <c r="B146" s="101" t="s">
        <v>63</v>
      </c>
      <c r="C146" s="101"/>
      <c r="D146" s="44"/>
      <c r="E146" s="30">
        <f>SUM(E137:E145)</f>
        <v>1429.3291567838496</v>
      </c>
      <c r="F146" s="30">
        <f>SUM(F137:F145)</f>
        <v>1439.83811478385</v>
      </c>
      <c r="G146" s="30">
        <f>SUM(G137:G145)</f>
        <v>1423.0422448743127</v>
      </c>
    </row>
    <row r="147" spans="2:7">
      <c r="B147" s="116" t="s">
        <v>123</v>
      </c>
      <c r="C147" s="116"/>
      <c r="D147" s="116"/>
      <c r="E147" s="116"/>
      <c r="F147" s="2"/>
      <c r="G147" s="2"/>
    </row>
    <row r="148" spans="2:7">
      <c r="B148" s="116" t="s">
        <v>124</v>
      </c>
      <c r="C148" s="116"/>
      <c r="D148" s="116"/>
      <c r="E148" s="116"/>
      <c r="F148" s="2"/>
      <c r="G148" s="2"/>
    </row>
    <row r="149" spans="2:7">
      <c r="B149" s="2"/>
      <c r="C149" s="2"/>
      <c r="D149" s="2"/>
    </row>
    <row r="150" spans="2:7">
      <c r="B150" s="117" t="s">
        <v>64</v>
      </c>
      <c r="C150" s="117"/>
      <c r="D150" s="117"/>
      <c r="E150" s="117"/>
      <c r="F150" s="2"/>
      <c r="G150" s="2"/>
    </row>
    <row r="151" spans="2:7">
      <c r="B151" s="31"/>
      <c r="C151" s="101" t="s">
        <v>65</v>
      </c>
      <c r="D151" s="101"/>
      <c r="E151" s="8" t="s">
        <v>66</v>
      </c>
      <c r="F151" s="8" t="s">
        <v>66</v>
      </c>
      <c r="G151" s="8" t="s">
        <v>66</v>
      </c>
    </row>
    <row r="152" spans="2:7">
      <c r="B152" s="5" t="s">
        <v>9</v>
      </c>
      <c r="C152" s="105" t="s">
        <v>67</v>
      </c>
      <c r="D152" s="105"/>
      <c r="E152" s="7">
        <f>E36</f>
        <v>2271.2146363636366</v>
      </c>
      <c r="F152" s="7">
        <f>F36</f>
        <v>2271.2146363636366</v>
      </c>
      <c r="G152" s="7">
        <f>G36</f>
        <v>2271.2146363636366</v>
      </c>
    </row>
    <row r="153" spans="2:7">
      <c r="B153" s="5" t="s">
        <v>0</v>
      </c>
      <c r="C153" s="105" t="s">
        <v>68</v>
      </c>
      <c r="D153" s="105"/>
      <c r="E153" s="7">
        <f>E88</f>
        <v>1348.5840336134909</v>
      </c>
      <c r="F153" s="7">
        <f>F88</f>
        <v>1377.984033613491</v>
      </c>
      <c r="G153" s="7">
        <f>G88</f>
        <v>1272.8093245225818</v>
      </c>
    </row>
    <row r="154" spans="2:7">
      <c r="B154" s="5" t="s">
        <v>1</v>
      </c>
      <c r="C154" s="105" t="s">
        <v>69</v>
      </c>
      <c r="D154" s="105"/>
      <c r="E154" s="7">
        <f>E98</f>
        <v>145.62310544538548</v>
      </c>
      <c r="F154" s="7">
        <f>F98</f>
        <v>145.62310544538548</v>
      </c>
      <c r="G154" s="7">
        <f>G98</f>
        <v>145.62310544538548</v>
      </c>
    </row>
    <row r="155" spans="2:7">
      <c r="B155" s="5" t="s">
        <v>2</v>
      </c>
      <c r="C155" s="105" t="s">
        <v>70</v>
      </c>
      <c r="D155" s="105"/>
      <c r="E155" s="7">
        <f>E124</f>
        <v>354.40932354270103</v>
      </c>
      <c r="F155" s="7">
        <f>F124</f>
        <v>355.29984954270094</v>
      </c>
      <c r="G155" s="7">
        <f>G124</f>
        <v>352.11410760433733</v>
      </c>
    </row>
    <row r="156" spans="2:7">
      <c r="B156" s="5" t="s">
        <v>10</v>
      </c>
      <c r="C156" s="105" t="s">
        <v>71</v>
      </c>
      <c r="D156" s="105"/>
      <c r="E156" s="7">
        <f>E133</f>
        <v>0</v>
      </c>
      <c r="F156" s="7">
        <f>F133</f>
        <v>0</v>
      </c>
      <c r="G156" s="7">
        <f>G133</f>
        <v>0</v>
      </c>
    </row>
    <row r="157" spans="2:7">
      <c r="B157" s="110" t="s">
        <v>72</v>
      </c>
      <c r="C157" s="110"/>
      <c r="D157" s="110"/>
      <c r="E157" s="13">
        <f>SUM(E152:E156)</f>
        <v>4119.8310989652136</v>
      </c>
      <c r="F157" s="13">
        <f>SUM(F152:F156)</f>
        <v>4150.1216249652143</v>
      </c>
      <c r="G157" s="13">
        <f>SUM(G152:G156)</f>
        <v>4041.7611739359413</v>
      </c>
    </row>
    <row r="158" spans="2:7">
      <c r="B158" s="6" t="s">
        <v>11</v>
      </c>
      <c r="C158" s="105" t="s">
        <v>73</v>
      </c>
      <c r="D158" s="105"/>
      <c r="E158" s="7">
        <f>E146</f>
        <v>1429.3291567838496</v>
      </c>
      <c r="F158" s="7">
        <f>F146</f>
        <v>1439.83811478385</v>
      </c>
      <c r="G158" s="7">
        <f>G146</f>
        <v>1423.0422448743127</v>
      </c>
    </row>
    <row r="159" spans="2:7">
      <c r="B159" s="101" t="s">
        <v>74</v>
      </c>
      <c r="C159" s="101"/>
      <c r="D159" s="101"/>
      <c r="E159" s="9">
        <f>ROUND(SUM(E158+E157),2)</f>
        <v>5549.16</v>
      </c>
      <c r="F159" s="9">
        <f>ROUND(SUM(F158+F157),2)</f>
        <v>5589.96</v>
      </c>
      <c r="G159" s="9">
        <f>ROUND(SUM(G158+G157),2)</f>
        <v>5464.8</v>
      </c>
    </row>
    <row r="160" spans="2:7">
      <c r="B160" s="2"/>
      <c r="C160" s="2"/>
      <c r="D160" s="2"/>
    </row>
    <row r="161" spans="2:7" ht="13">
      <c r="B161" s="118" t="s">
        <v>157</v>
      </c>
      <c r="C161" s="119"/>
      <c r="D161" s="120"/>
      <c r="E161" s="76">
        <f>SUM(E159*E15)</f>
        <v>83237.399999999994</v>
      </c>
      <c r="F161" s="76">
        <f>SUM(F159*F15)</f>
        <v>16769.88</v>
      </c>
      <c r="G161" s="76">
        <f>SUM(G159*G15)</f>
        <v>16394.400000000001</v>
      </c>
    </row>
    <row r="162" spans="2:7" ht="13">
      <c r="B162" s="118" t="s">
        <v>158</v>
      </c>
      <c r="C162" s="119"/>
      <c r="D162" s="120"/>
      <c r="E162" s="76">
        <f>SUM(E161*12)</f>
        <v>998848.79999999993</v>
      </c>
      <c r="F162" s="76">
        <f>SUM(F161*12)</f>
        <v>201238.56</v>
      </c>
      <c r="G162" s="76">
        <f>SUM(G161*12)</f>
        <v>196732.80000000002</v>
      </c>
    </row>
    <row r="163" spans="2:7">
      <c r="B163" s="104" t="s">
        <v>162</v>
      </c>
      <c r="C163" s="104"/>
      <c r="D163" s="104"/>
      <c r="E163" s="96">
        <f>SUM(E162+F162+G162)</f>
        <v>1396820.16</v>
      </c>
      <c r="F163" s="97"/>
      <c r="G163" s="97"/>
    </row>
    <row r="164" spans="2:7">
      <c r="B164" s="104" t="s">
        <v>184</v>
      </c>
      <c r="C164" s="104"/>
      <c r="D164" s="104"/>
      <c r="E164" s="129">
        <f>E163*2</f>
        <v>2793640.32</v>
      </c>
      <c r="F164" s="130"/>
      <c r="G164" s="130"/>
    </row>
    <row r="165" spans="2:7">
      <c r="B165" s="2"/>
      <c r="C165" s="2"/>
      <c r="D165" s="2"/>
    </row>
  </sheetData>
  <mergeCells count="96">
    <mergeCell ref="E164:G164"/>
    <mergeCell ref="B163:D163"/>
    <mergeCell ref="G144:G145"/>
    <mergeCell ref="C34:D34"/>
    <mergeCell ref="B83:D83"/>
    <mergeCell ref="B139:B145"/>
    <mergeCell ref="D144:D145"/>
    <mergeCell ref="B126:E126"/>
    <mergeCell ref="B135:E135"/>
    <mergeCell ref="C129:D129"/>
    <mergeCell ref="B113:E113"/>
    <mergeCell ref="B100:E100"/>
    <mergeCell ref="E144:E145"/>
    <mergeCell ref="B115:D115"/>
    <mergeCell ref="C116:D116"/>
    <mergeCell ref="C131:D131"/>
    <mergeCell ref="B161:D161"/>
    <mergeCell ref="B90:E90"/>
    <mergeCell ref="B79:D79"/>
    <mergeCell ref="C72:D72"/>
    <mergeCell ref="C73:D73"/>
    <mergeCell ref="C74:D74"/>
    <mergeCell ref="C75:D75"/>
    <mergeCell ref="C76:D76"/>
    <mergeCell ref="C77:D77"/>
    <mergeCell ref="C78:D78"/>
    <mergeCell ref="C84:D84"/>
    <mergeCell ref="C85:D85"/>
    <mergeCell ref="C86:D86"/>
    <mergeCell ref="C87:D87"/>
    <mergeCell ref="B159:D159"/>
    <mergeCell ref="C151:D151"/>
    <mergeCell ref="B162:D162"/>
    <mergeCell ref="C30:D30"/>
    <mergeCell ref="B8:E8"/>
    <mergeCell ref="C26:D26"/>
    <mergeCell ref="C27:D27"/>
    <mergeCell ref="C28:D28"/>
    <mergeCell ref="C29:D29"/>
    <mergeCell ref="B25:E25"/>
    <mergeCell ref="B66:E66"/>
    <mergeCell ref="C31:D31"/>
    <mergeCell ref="C32:D32"/>
    <mergeCell ref="C33:D33"/>
    <mergeCell ref="B88:D88"/>
    <mergeCell ref="C91:D91"/>
    <mergeCell ref="B98:D98"/>
    <mergeCell ref="B99:E99"/>
    <mergeCell ref="B157:D157"/>
    <mergeCell ref="C158:D158"/>
    <mergeCell ref="B147:E147"/>
    <mergeCell ref="B148:E148"/>
    <mergeCell ref="B150:E150"/>
    <mergeCell ref="C152:D152"/>
    <mergeCell ref="C153:D153"/>
    <mergeCell ref="C154:D154"/>
    <mergeCell ref="C155:D155"/>
    <mergeCell ref="C156:D156"/>
    <mergeCell ref="B39:E39"/>
    <mergeCell ref="C132:D132"/>
    <mergeCell ref="B133:D133"/>
    <mergeCell ref="C123:D123"/>
    <mergeCell ref="B124:D124"/>
    <mergeCell ref="B114:E114"/>
    <mergeCell ref="C127:D127"/>
    <mergeCell ref="C128:D128"/>
    <mergeCell ref="B101:D101"/>
    <mergeCell ref="B7:F7"/>
    <mergeCell ref="B49:E49"/>
    <mergeCell ref="B51:E51"/>
    <mergeCell ref="B63:E63"/>
    <mergeCell ref="C35:D35"/>
    <mergeCell ref="C36:D36"/>
    <mergeCell ref="C41:D41"/>
    <mergeCell ref="B44:D44"/>
    <mergeCell ref="B46:D46"/>
    <mergeCell ref="B81:E81"/>
    <mergeCell ref="B80:E80"/>
    <mergeCell ref="B64:E64"/>
    <mergeCell ref="B37:E37"/>
    <mergeCell ref="B5:G5"/>
    <mergeCell ref="B2:G2"/>
    <mergeCell ref="B3:G3"/>
    <mergeCell ref="E163:G163"/>
    <mergeCell ref="B40:E40"/>
    <mergeCell ref="B47:E47"/>
    <mergeCell ref="B48:E48"/>
    <mergeCell ref="B118:D118"/>
    <mergeCell ref="B120:D120"/>
    <mergeCell ref="C102:D102"/>
    <mergeCell ref="B112:D112"/>
    <mergeCell ref="F144:F145"/>
    <mergeCell ref="B164:D164"/>
    <mergeCell ref="C121:D121"/>
    <mergeCell ref="C122:D122"/>
    <mergeCell ref="B146:C146"/>
  </mergeCells>
  <dataValidations disablePrompts="1" count="5">
    <dataValidation allowBlank="1" showInputMessage="1" showErrorMessage="1" prompt="Quando necessário os valores monetários devem ser arredondados em 2 (duas)_x000a_casa decimais de acordo com a Norma ABNT NBR 5891" sqref="E159:G159" xr:uid="{B275B4BA-E3B2-49F3-9997-4A0B07E62F07}"/>
    <dataValidation allowBlank="1" showInputMessage="1" showErrorMessage="1" promptTitle="Orientações de preenchimento" prompt="Esse campo somente será preenchido caso a empresa seja OPTANTE pela desoneração. Nesse caso, o INSS do submódulo 2.2 será OBRIGATORIAMENTE ZERADO" sqref="C143:D143" xr:uid="{9C3E2649-BEB4-46C6-8A03-4A9FE5EBA097}"/>
    <dataValidation allowBlank="1" showInputMessage="1" showErrorMessage="1" promptTitle="Orientações de preenchimento" prompt="Caso a opção seja indenizar o titular, incluir aportar o valor no Submódulo 2.2._x000a_Caso a opção seja pela substituição do titular durante o intervalo, inclur valor no Sumbódulo 4.2_x000a_" sqref="E78:G78 C117:D117" xr:uid="{CF561BB5-5063-4947-B35C-A16ADA5C7D97}"/>
    <dataValidation allowBlank="1" showInputMessage="1" showErrorMessage="1" promptTitle="Orientações de preenchimento" prompt="Caso a opção seja indenizar o titular, incluir aportar o valor no Submódulo 2.2._x000a_Caso a opção seja pela substituição do titular durante o intervalo, inclur valor no Sumbódulo 4.2" sqref="C78:D78" xr:uid="{4DD823A4-D7A5-4C9A-A4F1-47AF7DB3C0C9}"/>
    <dataValidation allowBlank="1" showInputMessage="1" showErrorMessage="1" promptTitle="Orientação de preenchimento" prompt="Caso a empresa seja optante pela desoneração, zerar esse item e incluir o % da CPRB no módulo 6" sqref="C53:D53" xr:uid="{FA0FA9A8-A114-4162-981B-FF642E8F301B}"/>
  </dataValidations>
  <pageMargins left="0.25" right="0.25" top="0.75" bottom="0.75" header="0.3" footer="0.3"/>
  <pageSetup paperSize="9" scale="81" fitToWidth="0" fitToHeight="0" orientation="portrait" r:id="rId1"/>
  <headerFooter alignWithMargins="0"/>
  <rowBreaks count="3" manualBreakCount="3">
    <brk id="38" min="1" max="1" man="1"/>
    <brk id="99" min="1" max="1" man="1"/>
    <brk id="149" min="1" max="1" man="1"/>
  </rowBreaks>
  <legacyDrawing r:id="rId2"/>
</worksheet>
</file>

<file path=docMetadata/LabelInfo.xml><?xml version="1.0" encoding="utf-8"?>
<clbl:labelList xmlns:clbl="http://schemas.microsoft.com/office/2020/mipLabelMetadata">
  <clbl:label id="{56c1e2fb-87c1-4de0-a6ac-d0566c08ce66}" enabled="0" method="" siteId="{56c1e2fb-87c1-4de0-a6ac-d0566c08ce6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349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Extrato Resumo Valor Estimado</vt:lpstr>
      <vt:lpstr>POSTO</vt:lpstr>
      <vt:lpstr>POSTO!Area_de_impressao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cogep</dc:creator>
  <cp:lastModifiedBy>Marsele de Oliveira Santos de Sousa</cp:lastModifiedBy>
  <cp:revision>4</cp:revision>
  <cp:lastPrinted>2022-10-21T12:43:27Z</cp:lastPrinted>
  <dcterms:created xsi:type="dcterms:W3CDTF">2010-02-10T17:23:02Z</dcterms:created>
  <dcterms:modified xsi:type="dcterms:W3CDTF">2025-11-12T19:06:40Z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ufgd</vt:lpwstr>
  </property>
  <property fmtid="{D5CDD505-2E9C-101B-9397-08002B2CF9AE}" pid="4" name="DocSecurity">
    <vt:r8>0</vt:r8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